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03"/>
  <workbookPr filterPrivacy="1"/>
  <xr:revisionPtr revIDLastSave="0" documentId="13_ncr:1_{F7FBEE51-56AA-41A4-831A-38071B2BC5CD}" xr6:coauthVersionLast="47" xr6:coauthVersionMax="47" xr10:uidLastSave="{00000000-0000-0000-0000-000000000000}"/>
  <bookViews>
    <workbookView xWindow="28680" yWindow="-120" windowWidth="29040" windowHeight="17640" xr2:uid="{00000000-000D-0000-FFFF-FFFF00000000}"/>
  </bookViews>
  <sheets>
    <sheet name="MiR" sheetId="1" r:id="rId1"/>
    <sheet name="IKRS" sheetId="2" r:id="rId2"/>
    <sheet name="HUMR" sheetId="3" r:id="rId3"/>
    <sheet name="SERI"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 i="1" l="1"/>
  <c r="T90" i="1"/>
  <c r="T89" i="1"/>
  <c r="T88" i="1"/>
  <c r="T87" i="1"/>
  <c r="U85" i="1"/>
  <c r="U84" i="1"/>
  <c r="T85" i="1"/>
  <c r="S85" i="1"/>
  <c r="T84" i="1"/>
  <c r="S84" i="1"/>
  <c r="U50" i="1"/>
  <c r="U49" i="1"/>
  <c r="T50" i="1"/>
  <c r="S50" i="1"/>
  <c r="T49" i="1"/>
  <c r="S49" i="1"/>
  <c r="V19" i="1"/>
  <c r="R19" i="1"/>
  <c r="J19" i="1"/>
  <c r="U94" i="1"/>
  <c r="U82" i="1"/>
  <c r="U55" i="1"/>
  <c r="U56" i="1"/>
  <c r="U57" i="1"/>
  <c r="U59" i="1"/>
  <c r="U60" i="1"/>
  <c r="U62" i="1"/>
  <c r="U64" i="1"/>
  <c r="U65" i="1"/>
  <c r="U66" i="1"/>
  <c r="U67" i="1"/>
  <c r="U68" i="1"/>
  <c r="U69" i="1"/>
  <c r="U70" i="1"/>
  <c r="U71" i="1"/>
  <c r="U72" i="1"/>
  <c r="U74" i="1"/>
  <c r="U75" i="1"/>
  <c r="U76" i="1"/>
  <c r="U77" i="1"/>
  <c r="U78" i="1"/>
  <c r="U79" i="1"/>
  <c r="U80" i="1"/>
  <c r="U81" i="1"/>
  <c r="U54" i="1"/>
  <c r="T82" i="1"/>
  <c r="S82" i="1"/>
  <c r="U47" i="1"/>
  <c r="U25" i="1"/>
  <c r="U26" i="1"/>
  <c r="U27" i="1"/>
  <c r="U28" i="1"/>
  <c r="U29" i="1"/>
  <c r="U30" i="1"/>
  <c r="U32" i="1"/>
  <c r="U34" i="1"/>
  <c r="U35" i="1"/>
  <c r="U36" i="1"/>
  <c r="U37" i="1"/>
  <c r="U38" i="1"/>
  <c r="U39" i="1"/>
  <c r="U40" i="1"/>
  <c r="U41" i="1"/>
  <c r="U42" i="1"/>
  <c r="U43" i="1"/>
  <c r="U44" i="1"/>
  <c r="U45" i="1"/>
  <c r="U46" i="1"/>
  <c r="U24" i="1"/>
  <c r="T47" i="1"/>
  <c r="S47" i="1"/>
  <c r="U19" i="1"/>
  <c r="U6" i="1"/>
  <c r="U7" i="1"/>
  <c r="U8" i="1"/>
  <c r="U9" i="1"/>
  <c r="U10" i="1"/>
  <c r="U11" i="1"/>
  <c r="U13" i="1"/>
  <c r="U14" i="1"/>
  <c r="U15" i="1"/>
  <c r="U16" i="1"/>
  <c r="U17" i="1"/>
  <c r="U18" i="1"/>
  <c r="U5" i="1"/>
  <c r="T19" i="1"/>
  <c r="S19" i="1"/>
  <c r="D85" i="1"/>
  <c r="C85" i="1"/>
  <c r="D84" i="1"/>
  <c r="C84" i="1"/>
  <c r="D50" i="1"/>
  <c r="C50" i="1"/>
  <c r="D49" i="1"/>
  <c r="C49" i="1"/>
  <c r="F8" i="4"/>
  <c r="E8" i="4"/>
  <c r="D8" i="4"/>
  <c r="F6" i="4"/>
  <c r="F7" i="4"/>
  <c r="F5" i="4"/>
  <c r="I10" i="3"/>
  <c r="I7" i="3"/>
  <c r="I8" i="3"/>
  <c r="I9" i="3"/>
  <c r="I6" i="3"/>
  <c r="I5" i="3"/>
  <c r="H10" i="3"/>
  <c r="G10" i="3"/>
  <c r="F10" i="3"/>
  <c r="F7" i="3"/>
  <c r="F8" i="3"/>
  <c r="F9" i="3"/>
  <c r="F6" i="3"/>
  <c r="E10" i="3"/>
  <c r="D10" i="3"/>
  <c r="F22" i="2"/>
  <c r="E22" i="2"/>
  <c r="D22" i="2"/>
  <c r="F6" i="2"/>
  <c r="F7" i="2"/>
  <c r="F8" i="2"/>
  <c r="F9" i="2"/>
  <c r="F10" i="2"/>
  <c r="F11" i="2"/>
  <c r="F12" i="2"/>
  <c r="F13" i="2"/>
  <c r="F14" i="2"/>
  <c r="F15" i="2"/>
  <c r="F16" i="2"/>
  <c r="F17" i="2"/>
  <c r="F18" i="2"/>
  <c r="F19" i="2"/>
  <c r="F20" i="2"/>
  <c r="F21" i="2"/>
  <c r="F5" i="2"/>
  <c r="E94" i="1"/>
  <c r="E93" i="1"/>
  <c r="E55" i="1"/>
  <c r="E56" i="1"/>
  <c r="E57" i="1"/>
  <c r="E58" i="1"/>
  <c r="E59" i="1"/>
  <c r="E61" i="1"/>
  <c r="E62" i="1"/>
  <c r="E64" i="1"/>
  <c r="E65" i="1"/>
  <c r="E66" i="1"/>
  <c r="E67" i="1"/>
  <c r="E68" i="1"/>
  <c r="E69" i="1"/>
  <c r="E71" i="1"/>
  <c r="E72" i="1"/>
  <c r="E73" i="1"/>
  <c r="E74" i="1"/>
  <c r="E75" i="1"/>
  <c r="E76" i="1"/>
  <c r="E77" i="1"/>
  <c r="E78" i="1"/>
  <c r="E79" i="1"/>
  <c r="E80" i="1"/>
  <c r="E81" i="1"/>
  <c r="E54" i="1"/>
  <c r="D82" i="1"/>
  <c r="D88" i="1" s="1"/>
  <c r="C82" i="1"/>
  <c r="E27" i="1"/>
  <c r="E28" i="1"/>
  <c r="E29" i="1"/>
  <c r="E30" i="1"/>
  <c r="E31" i="1"/>
  <c r="E33" i="1"/>
  <c r="E34" i="1"/>
  <c r="E35" i="1"/>
  <c r="E36" i="1"/>
  <c r="E37" i="1"/>
  <c r="E38" i="1"/>
  <c r="E39" i="1"/>
  <c r="E41" i="1"/>
  <c r="E42" i="1"/>
  <c r="E43" i="1"/>
  <c r="E44" i="1"/>
  <c r="E45" i="1"/>
  <c r="E46" i="1"/>
  <c r="E26" i="1"/>
  <c r="D47" i="1"/>
  <c r="D87" i="1" s="1"/>
  <c r="C47" i="1"/>
  <c r="E6" i="1"/>
  <c r="E7" i="1"/>
  <c r="E8" i="1"/>
  <c r="E9" i="1"/>
  <c r="E10" i="1"/>
  <c r="E12" i="1"/>
  <c r="E13" i="1"/>
  <c r="E14" i="1"/>
  <c r="E15" i="1"/>
  <c r="E16" i="1"/>
  <c r="E17" i="1"/>
  <c r="E18" i="1"/>
  <c r="E5" i="1"/>
  <c r="D19" i="1"/>
  <c r="C19" i="1"/>
  <c r="E84" i="1" l="1"/>
  <c r="E50" i="1"/>
  <c r="E85" i="1"/>
  <c r="E49" i="1"/>
  <c r="E47" i="1"/>
  <c r="E82" i="1"/>
  <c r="E19" i="1"/>
  <c r="D89" i="1"/>
  <c r="D90" i="1" s="1"/>
  <c r="H82" i="1"/>
  <c r="G82" i="1"/>
  <c r="P47" i="1"/>
  <c r="O47" i="1"/>
  <c r="L47" i="1" l="1"/>
  <c r="K47" i="1"/>
  <c r="H47" i="1"/>
  <c r="G47" i="1"/>
  <c r="M19" i="1"/>
  <c r="L19" i="1"/>
  <c r="H19" i="1"/>
  <c r="G19" i="1"/>
  <c r="H22" i="2"/>
  <c r="G22" i="2"/>
  <c r="I8" i="2"/>
  <c r="H8" i="4"/>
  <c r="G8" i="4"/>
  <c r="K19" i="1" l="1"/>
  <c r="P89" i="1"/>
  <c r="Q85" i="1"/>
  <c r="Q84" i="1"/>
  <c r="M85" i="1"/>
  <c r="M84" i="1"/>
  <c r="Q82" i="1"/>
  <c r="Q81" i="1"/>
  <c r="Q80" i="1"/>
  <c r="Q79" i="1"/>
  <c r="Q77" i="1"/>
  <c r="Q75" i="1"/>
  <c r="Q68" i="1"/>
  <c r="Q66" i="1"/>
  <c r="Q65" i="1"/>
  <c r="Q64" i="1"/>
  <c r="Q59" i="1"/>
  <c r="Q57" i="1"/>
  <c r="Q55" i="1"/>
  <c r="Q54" i="1"/>
  <c r="M82" i="1"/>
  <c r="K82" i="1"/>
  <c r="M77" i="1"/>
  <c r="Q50" i="1"/>
  <c r="Q49" i="1"/>
  <c r="M50" i="1"/>
  <c r="M49" i="1"/>
  <c r="Q94" i="1"/>
  <c r="Q46" i="1"/>
  <c r="Q44" i="1"/>
  <c r="Q40" i="1"/>
  <c r="M38" i="1"/>
  <c r="Q38" i="1"/>
  <c r="Q32" i="1"/>
  <c r="Q26" i="1"/>
  <c r="M5" i="1" l="1"/>
  <c r="M6" i="1"/>
  <c r="M7" i="1"/>
  <c r="M8" i="1"/>
  <c r="M9" i="1"/>
  <c r="M11" i="1"/>
  <c r="M13" i="1"/>
  <c r="M14" i="1"/>
  <c r="M15" i="1"/>
  <c r="M16" i="1"/>
  <c r="M17" i="1"/>
  <c r="M18" i="1"/>
  <c r="M24" i="1"/>
  <c r="M37" i="1"/>
  <c r="M39" i="1"/>
  <c r="M59" i="1"/>
  <c r="M60" i="1"/>
  <c r="M67" i="1"/>
  <c r="M68" i="1"/>
  <c r="M69" i="1"/>
  <c r="Q36" i="1" l="1"/>
  <c r="K8" i="4" l="1"/>
  <c r="J8" i="4"/>
  <c r="K10" i="3"/>
  <c r="J10" i="3"/>
  <c r="L22" i="2"/>
  <c r="K22" i="2"/>
  <c r="J22" i="2"/>
  <c r="L13" i="2"/>
  <c r="L9" i="2"/>
  <c r="L8" i="2"/>
  <c r="L7" i="2"/>
  <c r="L6" i="2"/>
  <c r="L5" i="2"/>
  <c r="R8" i="4" l="1"/>
  <c r="O8" i="4"/>
  <c r="O7" i="4"/>
  <c r="R6" i="4"/>
  <c r="O6" i="4"/>
  <c r="R5" i="4"/>
  <c r="O5" i="4"/>
  <c r="R10" i="3"/>
  <c r="O10" i="3"/>
  <c r="R9" i="3"/>
  <c r="O9" i="3"/>
  <c r="R8" i="3"/>
  <c r="R7" i="3"/>
  <c r="O7" i="3"/>
  <c r="O6" i="3"/>
  <c r="R5" i="3"/>
  <c r="O5" i="3"/>
  <c r="R22" i="2"/>
  <c r="O22" i="2"/>
  <c r="O19" i="2"/>
  <c r="R16" i="2"/>
  <c r="R13" i="2"/>
  <c r="O13" i="2"/>
  <c r="O12" i="2"/>
  <c r="R11" i="2"/>
  <c r="O11" i="2"/>
  <c r="R9" i="2"/>
  <c r="O9" i="2"/>
  <c r="R8" i="2"/>
  <c r="O8" i="2"/>
  <c r="R7" i="2"/>
  <c r="O7" i="2"/>
  <c r="R5" i="2"/>
  <c r="O5" i="2"/>
  <c r="Q5" i="1" l="1"/>
  <c r="Q6" i="1"/>
  <c r="Q7" i="1"/>
  <c r="Q8" i="1"/>
  <c r="Q9" i="1"/>
  <c r="Q11" i="1"/>
  <c r="Q13" i="1"/>
  <c r="Q14" i="1"/>
  <c r="Q15" i="1"/>
  <c r="Q16" i="1"/>
  <c r="Q17" i="1"/>
  <c r="Q18" i="1"/>
  <c r="Q19" i="1"/>
  <c r="Q78" i="1" l="1"/>
  <c r="Q76" i="1"/>
  <c r="Q74" i="1"/>
  <c r="Q72" i="1"/>
  <c r="Q71" i="1"/>
  <c r="Q70" i="1"/>
  <c r="Q67" i="1"/>
  <c r="Q62" i="1"/>
  <c r="Q60" i="1"/>
  <c r="Q56" i="1"/>
  <c r="Q45" i="1"/>
  <c r="Q43" i="1"/>
  <c r="Q42" i="1"/>
  <c r="Q37" i="1"/>
  <c r="Q35" i="1"/>
  <c r="Q34" i="1"/>
  <c r="Q29" i="1"/>
  <c r="Q28" i="1"/>
  <c r="Q27" i="1"/>
  <c r="Q25" i="1"/>
</calcChain>
</file>

<file path=xl/sharedStrings.xml><?xml version="1.0" encoding="utf-8"?>
<sst xmlns="http://schemas.openxmlformats.org/spreadsheetml/2006/main" count="392" uniqueCount="218">
  <si>
    <t xml:space="preserve">Tallene er hentet fra FS582.001 (viser antall oppmeldte ved trekkfrist og antall møtte til eksamen) og Tableau Gjentaksstudenter_JFM5-emner (viser antall og andel gjentaksstudenter av antall møtte) </t>
  </si>
  <si>
    <t>Emne</t>
  </si>
  <si>
    <t>Emnenavn</t>
  </si>
  <si>
    <t>Vår 2023</t>
  </si>
  <si>
    <t>Vår 2022</t>
  </si>
  <si>
    <t>Vår 2021</t>
  </si>
  <si>
    <t>Vår 2020</t>
  </si>
  <si>
    <t>Vår 2019</t>
  </si>
  <si>
    <t>Studieårsemner</t>
  </si>
  <si>
    <t>Oppmeldt</t>
  </si>
  <si>
    <t>Møtt</t>
  </si>
  <si>
    <t>%møtt</t>
  </si>
  <si>
    <t>%gjentak</t>
  </si>
  <si>
    <t>Oppmeldte</t>
  </si>
  <si>
    <t xml:space="preserve">%gjentak </t>
  </si>
  <si>
    <t>JUS1111</t>
  </si>
  <si>
    <t>Privatrett I</t>
  </si>
  <si>
    <t>JUS1211</t>
  </si>
  <si>
    <t>Privatrett II</t>
  </si>
  <si>
    <t>JUS2111</t>
  </si>
  <si>
    <t>Statsforfatningsrett</t>
  </si>
  <si>
    <t>JUS2211</t>
  </si>
  <si>
    <t xml:space="preserve">Forvaltningsrett og </t>
  </si>
  <si>
    <t>JFEXFAC04</t>
  </si>
  <si>
    <t>Ex.fac</t>
  </si>
  <si>
    <t>JUS3112</t>
  </si>
  <si>
    <t>Formuerett I</t>
  </si>
  <si>
    <t>JUS3212*</t>
  </si>
  <si>
    <t>Formuerett II</t>
  </si>
  <si>
    <t>JUS3213**</t>
  </si>
  <si>
    <t>JUS3220</t>
  </si>
  <si>
    <t>Rettshistorie</t>
  </si>
  <si>
    <t>JUS4111</t>
  </si>
  <si>
    <t>Metode og etikk</t>
  </si>
  <si>
    <t>JUS4211</t>
  </si>
  <si>
    <t>Prosess og straffere</t>
  </si>
  <si>
    <t>JUS4121</t>
  </si>
  <si>
    <t>Rettsøkonomi 1</t>
  </si>
  <si>
    <t>JUS4122</t>
  </si>
  <si>
    <t>Rettssosiologi 1</t>
  </si>
  <si>
    <t>JUS4123</t>
  </si>
  <si>
    <t>Rettsfilosofi</t>
  </si>
  <si>
    <t>Totalt</t>
  </si>
  <si>
    <t>*siste gang v22</t>
  </si>
  <si>
    <t>**ny h21</t>
  </si>
  <si>
    <t>Valgemner ba-nivå</t>
  </si>
  <si>
    <t>JFSPR1210</t>
  </si>
  <si>
    <t>Fransk for jurister</t>
  </si>
  <si>
    <t>JFSPR1310</t>
  </si>
  <si>
    <t xml:space="preserve">Tysk for jurister </t>
  </si>
  <si>
    <t>emnet gikk ikke</t>
  </si>
  <si>
    <t>JUR1120</t>
  </si>
  <si>
    <t>Utlendingsrett</t>
  </si>
  <si>
    <t>JUR1220</t>
  </si>
  <si>
    <t>Bygge- og entreprise</t>
  </si>
  <si>
    <t>JUR1230</t>
  </si>
  <si>
    <t>Int. Commercial Law</t>
  </si>
  <si>
    <t>JUR1260</t>
  </si>
  <si>
    <t>English Law of Contr</t>
  </si>
  <si>
    <t>JUR1285</t>
  </si>
  <si>
    <t>Markedsrett</t>
  </si>
  <si>
    <t>JUR1412</t>
  </si>
  <si>
    <t xml:space="preserve">Energy law </t>
  </si>
  <si>
    <t>JUR1440</t>
  </si>
  <si>
    <t>EU Substantive Law</t>
  </si>
  <si>
    <t>JUR1441</t>
  </si>
  <si>
    <t>EU External relations (ny)</t>
  </si>
  <si>
    <t>JUR1450</t>
  </si>
  <si>
    <t>Marine Insurance</t>
  </si>
  <si>
    <t>JUR1504</t>
  </si>
  <si>
    <t>Konflikthåndtering</t>
  </si>
  <si>
    <t>JUR1512</t>
  </si>
  <si>
    <t>Arbeidsrett (koll.)</t>
  </si>
  <si>
    <t>JUR1530</t>
  </si>
  <si>
    <t>Refugee and Asylum</t>
  </si>
  <si>
    <t>JUR1560</t>
  </si>
  <si>
    <t>Int. Const. Law &amp;Dem</t>
  </si>
  <si>
    <t>JUR1580</t>
  </si>
  <si>
    <t>Kommunalrett</t>
  </si>
  <si>
    <t>(annethvert år)</t>
  </si>
  <si>
    <t>JUR1630</t>
  </si>
  <si>
    <t>Privacy, Data Protec</t>
  </si>
  <si>
    <t>JUR1671</t>
  </si>
  <si>
    <t>Legal Technology: Ar</t>
  </si>
  <si>
    <t>JUR1820</t>
  </si>
  <si>
    <t>Patent- og varemerke</t>
  </si>
  <si>
    <t>JUR1910</t>
  </si>
  <si>
    <t>Women's Law and Huma</t>
  </si>
  <si>
    <t>JUR1960</t>
  </si>
  <si>
    <t>Trygderett</t>
  </si>
  <si>
    <t>JUR1970</t>
  </si>
  <si>
    <t>Barnerett</t>
  </si>
  <si>
    <t>JUR1981</t>
  </si>
  <si>
    <t>Grunnleggende skatte</t>
  </si>
  <si>
    <t>Valgemner</t>
  </si>
  <si>
    <t>Engelske</t>
  </si>
  <si>
    <t>BA</t>
  </si>
  <si>
    <t xml:space="preserve">Norske </t>
  </si>
  <si>
    <t>Valgemner ma-nivå</t>
  </si>
  <si>
    <t>JUS5120</t>
  </si>
  <si>
    <t>Utlendingsrett (frem</t>
  </si>
  <si>
    <t>JUS5220</t>
  </si>
  <si>
    <t>JUS5230</t>
  </si>
  <si>
    <t>JUS5260</t>
  </si>
  <si>
    <t>JUS5412</t>
  </si>
  <si>
    <t>JUS5420</t>
  </si>
  <si>
    <t>Forsikringsrett</t>
  </si>
  <si>
    <t>JUS5440</t>
  </si>
  <si>
    <t>EU Substantive Law*</t>
  </si>
  <si>
    <t>JUS5441</t>
  </si>
  <si>
    <t>EU External relations (ny v22)</t>
  </si>
  <si>
    <t>JUS5450</t>
  </si>
  <si>
    <t>JUS5502</t>
  </si>
  <si>
    <t>Lovgivningslære</t>
  </si>
  <si>
    <t>(var høstemne)</t>
  </si>
  <si>
    <t>JUS5504</t>
  </si>
  <si>
    <t>JUS5512</t>
  </si>
  <si>
    <t>JUS5530</t>
  </si>
  <si>
    <t>Ref &amp; Asyl</t>
  </si>
  <si>
    <t>JUS5560</t>
  </si>
  <si>
    <t>International Consti</t>
  </si>
  <si>
    <t>JUS5570</t>
  </si>
  <si>
    <t>Int. Criminal Law</t>
  </si>
  <si>
    <t>JUS5580</t>
  </si>
  <si>
    <t>JUS5630</t>
  </si>
  <si>
    <t>Privacy and Data Pro</t>
  </si>
  <si>
    <t>JUS5650</t>
  </si>
  <si>
    <t>Cybersecurity Regula</t>
  </si>
  <si>
    <t>JUS5671</t>
  </si>
  <si>
    <t>JUS5690</t>
  </si>
  <si>
    <t>Robot Regulation</t>
  </si>
  <si>
    <t>JUS5801</t>
  </si>
  <si>
    <t>Selskapsrett</t>
  </si>
  <si>
    <t>JUS5820</t>
  </si>
  <si>
    <t>JUS5851</t>
  </si>
  <si>
    <t>International Invest</t>
  </si>
  <si>
    <t>JUS5910</t>
  </si>
  <si>
    <t>JUS5911</t>
  </si>
  <si>
    <t>International Climat</t>
  </si>
  <si>
    <t>JUS5960</t>
  </si>
  <si>
    <t>JUS5970</t>
  </si>
  <si>
    <t>JUS5981</t>
  </si>
  <si>
    <t>Skatterett I: Grunnl</t>
  </si>
  <si>
    <t>MA</t>
  </si>
  <si>
    <t>Alle valgemner BA</t>
  </si>
  <si>
    <t>Alle valgemner MA</t>
  </si>
  <si>
    <t>Alle valgemner</t>
  </si>
  <si>
    <t>Alle emner rettsstudiet + valgemner</t>
  </si>
  <si>
    <t>totalt</t>
  </si>
  <si>
    <t xml:space="preserve">Andre emner </t>
  </si>
  <si>
    <t>JUROFF1210</t>
  </si>
  <si>
    <t>Intro. Forvaltningsrett</t>
  </si>
  <si>
    <t>JUROFF1410</t>
  </si>
  <si>
    <t>Folkerett</t>
  </si>
  <si>
    <t>JUR5030</t>
  </si>
  <si>
    <t>Masteroppgave 30 stp</t>
  </si>
  <si>
    <t xml:space="preserve">totalt </t>
  </si>
  <si>
    <t>JUR5060</t>
  </si>
  <si>
    <t>Masteroppgave 60 sto</t>
  </si>
  <si>
    <t>Oppnådd grad</t>
  </si>
  <si>
    <t>216*</t>
  </si>
  <si>
    <t>*tallet er foreløpig</t>
  </si>
  <si>
    <t xml:space="preserve">Tallene er hentet fra FS582.001 (viser antall oppmeldte ved trekkfrist og antall møtte til eksamen)  </t>
  </si>
  <si>
    <t>IKRS-emner</t>
  </si>
  <si>
    <t>KRIM1300</t>
  </si>
  <si>
    <t>Sosial kontroll</t>
  </si>
  <si>
    <t>KRIM2000</t>
  </si>
  <si>
    <t xml:space="preserve">Sentrale teoretiske </t>
  </si>
  <si>
    <t>KRIM2101</t>
  </si>
  <si>
    <t>Fordypningsoppgave i</t>
  </si>
  <si>
    <t>KRIM2953</t>
  </si>
  <si>
    <t>Criminological Persp</t>
  </si>
  <si>
    <t>KRIM2960</t>
  </si>
  <si>
    <t xml:space="preserve">Green Criminology_x000D_
</t>
  </si>
  <si>
    <t>KRIM2963</t>
  </si>
  <si>
    <t>Crime and technology</t>
  </si>
  <si>
    <t>KRIM4102</t>
  </si>
  <si>
    <t>KRIM4104</t>
  </si>
  <si>
    <t>Prosjektdesign</t>
  </si>
  <si>
    <t>KRIM4953</t>
  </si>
  <si>
    <t>KRIM4960</t>
  </si>
  <si>
    <t>Green Criminology</t>
  </si>
  <si>
    <t>KRIM4963</t>
  </si>
  <si>
    <t>KRIM5001</t>
  </si>
  <si>
    <t>Masteroppgave i krim</t>
  </si>
  <si>
    <t>RSOS2952</t>
  </si>
  <si>
    <t>Law, ideology and Human rights violations</t>
  </si>
  <si>
    <t>(høstemne)</t>
  </si>
  <si>
    <t>RSOS4952</t>
  </si>
  <si>
    <t>RSOS4102</t>
  </si>
  <si>
    <t>RSOS4104</t>
  </si>
  <si>
    <t>RSOS5001</t>
  </si>
  <si>
    <t>Masteroppgave i rett</t>
  </si>
  <si>
    <t>HUMR-emner</t>
  </si>
  <si>
    <t>HUMR4504</t>
  </si>
  <si>
    <t>Human Rights in Prac</t>
  </si>
  <si>
    <t xml:space="preserve">Ikke klart </t>
  </si>
  <si>
    <t>HUMR5150</t>
  </si>
  <si>
    <t>The Philosophy of Hu</t>
  </si>
  <si>
    <t>(emnet gikk ikke)</t>
  </si>
  <si>
    <t>HUMR5200</t>
  </si>
  <si>
    <t>Thesis in The Theory</t>
  </si>
  <si>
    <t>HUMR5508</t>
  </si>
  <si>
    <t>Human Rights and Div</t>
  </si>
  <si>
    <t>HUMR5702</t>
  </si>
  <si>
    <t>Human Rights and Sus</t>
  </si>
  <si>
    <t>V23</t>
  </si>
  <si>
    <t>V22</t>
  </si>
  <si>
    <t>V21</t>
  </si>
  <si>
    <t>V20</t>
  </si>
  <si>
    <t>V19</t>
  </si>
  <si>
    <t>Seri-emner</t>
  </si>
  <si>
    <t>RINF1100</t>
  </si>
  <si>
    <t>Ytringsfrihet, medie</t>
  </si>
  <si>
    <t>FINF4021</t>
  </si>
  <si>
    <t>Automatisert rettsan</t>
  </si>
  <si>
    <t>FINF4022</t>
  </si>
  <si>
    <t>Forskningmetoder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</si>
</sst>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0"/>
      <name val="Arial"/>
      <family val="2"/>
    </font>
    <font>
      <i/>
      <sz val="11"/>
      <color theme="1"/>
      <name val="Calibri"/>
      <family val="2"/>
      <scheme val="minor"/>
    </font>
    <font>
      <sz val="10"/>
      <name val="Calibri"/>
      <family val="2"/>
      <scheme val="minor"/>
    </font>
    <font>
      <sz val="10"/>
      <color theme="1"/>
      <name val="Calibri"/>
      <family val="2"/>
      <scheme val="minor"/>
    </font>
    <font>
      <b/>
      <sz val="10"/>
      <name val="Calibri"/>
      <family val="2"/>
      <scheme val="minor"/>
    </font>
    <font>
      <b/>
      <sz val="10"/>
      <color theme="1"/>
      <name val="Calibri"/>
      <family val="2"/>
      <scheme val="minor"/>
    </font>
    <font>
      <i/>
      <sz val="10"/>
      <color theme="1"/>
      <name val="Calibri"/>
      <family val="2"/>
      <scheme val="minor"/>
    </font>
    <font>
      <sz val="10"/>
      <color rgb="FFFF0000"/>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FFC000"/>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9" fontId="1" fillId="0" borderId="0" applyFont="0" applyFill="0" applyBorder="0" applyAlignment="0" applyProtection="0"/>
    <xf numFmtId="0" fontId="3" fillId="0" borderId="0"/>
    <xf numFmtId="0" fontId="3" fillId="0" borderId="0"/>
  </cellStyleXfs>
  <cellXfs count="389">
    <xf numFmtId="0" fontId="0" fillId="0" borderId="0" xfId="0"/>
    <xf numFmtId="0" fontId="0" fillId="2" borderId="2" xfId="0" applyFill="1" applyBorder="1"/>
    <xf numFmtId="0" fontId="2" fillId="3" borderId="1" xfId="0" applyFont="1" applyFill="1" applyBorder="1"/>
    <xf numFmtId="0" fontId="2" fillId="3" borderId="2" xfId="0" applyFont="1" applyFill="1" applyBorder="1" applyAlignment="1">
      <alignment horizontal="right"/>
    </xf>
    <xf numFmtId="0" fontId="0" fillId="3" borderId="3" xfId="0" applyFill="1" applyBorder="1"/>
    <xf numFmtId="0" fontId="0" fillId="3" borderId="0" xfId="0" applyFill="1"/>
    <xf numFmtId="0" fontId="3" fillId="0" borderId="0" xfId="3"/>
    <xf numFmtId="0" fontId="3" fillId="3" borderId="3" xfId="3" applyFill="1" applyBorder="1"/>
    <xf numFmtId="0" fontId="3" fillId="3" borderId="0" xfId="3" applyFill="1"/>
    <xf numFmtId="0" fontId="3" fillId="0" borderId="3" xfId="3" applyBorder="1"/>
    <xf numFmtId="0" fontId="2" fillId="3" borderId="5" xfId="0" applyFont="1" applyFill="1" applyBorder="1"/>
    <xf numFmtId="0" fontId="3" fillId="0" borderId="1" xfId="3" applyBorder="1"/>
    <xf numFmtId="0" fontId="4" fillId="2" borderId="1" xfId="3" applyFont="1" applyFill="1" applyBorder="1"/>
    <xf numFmtId="0" fontId="2" fillId="3" borderId="2" xfId="0" applyFont="1" applyFill="1" applyBorder="1"/>
    <xf numFmtId="0" fontId="4" fillId="3" borderId="2" xfId="3" applyFont="1" applyFill="1" applyBorder="1"/>
    <xf numFmtId="0" fontId="2" fillId="4" borderId="7" xfId="0" applyFont="1" applyFill="1" applyBorder="1"/>
    <xf numFmtId="0" fontId="3" fillId="4" borderId="0" xfId="3" applyFill="1"/>
    <xf numFmtId="0" fontId="2" fillId="4" borderId="5" xfId="0" applyFont="1" applyFill="1" applyBorder="1"/>
    <xf numFmtId="0" fontId="2" fillId="4" borderId="2" xfId="0" applyFont="1" applyFill="1" applyBorder="1"/>
    <xf numFmtId="0" fontId="2" fillId="4" borderId="1" xfId="0" applyFont="1" applyFill="1" applyBorder="1"/>
    <xf numFmtId="0" fontId="2" fillId="4" borderId="2" xfId="0" applyFont="1" applyFill="1" applyBorder="1" applyAlignment="1">
      <alignment horizontal="right"/>
    </xf>
    <xf numFmtId="9" fontId="2" fillId="4" borderId="2" xfId="1" applyFont="1" applyFill="1" applyBorder="1" applyAlignment="1">
      <alignment horizontal="right"/>
    </xf>
    <xf numFmtId="0" fontId="4" fillId="0" borderId="1" xfId="3" applyFont="1" applyBorder="1"/>
    <xf numFmtId="0" fontId="4" fillId="4" borderId="2" xfId="3" applyFont="1" applyFill="1" applyBorder="1"/>
    <xf numFmtId="0" fontId="5" fillId="0" borderId="0" xfId="0" applyFont="1"/>
    <xf numFmtId="0" fontId="4" fillId="5" borderId="2" xfId="3" applyFont="1" applyFill="1" applyBorder="1"/>
    <xf numFmtId="0" fontId="2" fillId="5" borderId="2" xfId="0" applyFont="1" applyFill="1" applyBorder="1"/>
    <xf numFmtId="0" fontId="2" fillId="3" borderId="7" xfId="0" applyFont="1" applyFill="1" applyBorder="1"/>
    <xf numFmtId="9" fontId="2" fillId="4" borderId="8" xfId="1" applyFont="1" applyFill="1" applyBorder="1" applyAlignment="1">
      <alignment horizontal="right"/>
    </xf>
    <xf numFmtId="0" fontId="2" fillId="5" borderId="7" xfId="0" applyFont="1" applyFill="1" applyBorder="1"/>
    <xf numFmtId="0" fontId="3" fillId="2" borderId="1" xfId="3" applyFill="1" applyBorder="1"/>
    <xf numFmtId="0" fontId="2" fillId="5" borderId="2" xfId="0" applyFont="1" applyFill="1" applyBorder="1" applyAlignment="1">
      <alignment horizontal="right"/>
    </xf>
    <xf numFmtId="9" fontId="2" fillId="5" borderId="2" xfId="1" applyFont="1" applyFill="1" applyBorder="1" applyAlignment="1">
      <alignment horizontal="right"/>
    </xf>
    <xf numFmtId="0" fontId="3" fillId="5" borderId="0" xfId="3" applyFill="1"/>
    <xf numFmtId="9" fontId="0" fillId="5" borderId="0" xfId="1" applyFont="1" applyFill="1" applyBorder="1"/>
    <xf numFmtId="0" fontId="4" fillId="0" borderId="2" xfId="3" applyFont="1" applyBorder="1"/>
    <xf numFmtId="9" fontId="2" fillId="5" borderId="2" xfId="1" applyFont="1" applyFill="1" applyBorder="1"/>
    <xf numFmtId="0" fontId="3" fillId="0" borderId="4" xfId="3" applyBorder="1"/>
    <xf numFmtId="0" fontId="3" fillId="5" borderId="5" xfId="3" applyFill="1" applyBorder="1"/>
    <xf numFmtId="9" fontId="0" fillId="5" borderId="5" xfId="1" applyFont="1" applyFill="1" applyBorder="1"/>
    <xf numFmtId="0" fontId="0" fillId="0" borderId="4" xfId="0" applyBorder="1"/>
    <xf numFmtId="0" fontId="2" fillId="0" borderId="5" xfId="0" applyFont="1" applyBorder="1"/>
    <xf numFmtId="0" fontId="2" fillId="5" borderId="5" xfId="0" applyFont="1" applyFill="1" applyBorder="1"/>
    <xf numFmtId="0" fontId="0" fillId="4" borderId="6" xfId="0" applyFill="1" applyBorder="1"/>
    <xf numFmtId="0" fontId="0" fillId="4" borderId="7" xfId="0" applyFill="1" applyBorder="1"/>
    <xf numFmtId="0" fontId="3" fillId="4" borderId="3" xfId="3" applyFill="1" applyBorder="1"/>
    <xf numFmtId="0" fontId="3" fillId="4" borderId="9" xfId="3" applyFill="1" applyBorder="1"/>
    <xf numFmtId="0" fontId="4" fillId="4" borderId="1" xfId="3" applyFont="1" applyFill="1" applyBorder="1"/>
    <xf numFmtId="0" fontId="4" fillId="4" borderId="8" xfId="3" applyFont="1" applyFill="1" applyBorder="1"/>
    <xf numFmtId="0" fontId="0" fillId="0" borderId="6" xfId="0" applyBorder="1"/>
    <xf numFmtId="0" fontId="0" fillId="0" borderId="7" xfId="0" applyBorder="1"/>
    <xf numFmtId="0" fontId="0" fillId="0" borderId="11" xfId="0" applyBorder="1"/>
    <xf numFmtId="0" fontId="2" fillId="5" borderId="1" xfId="0" applyFont="1" applyFill="1" applyBorder="1"/>
    <xf numFmtId="0" fontId="3" fillId="5" borderId="3" xfId="3" applyFill="1" applyBorder="1"/>
    <xf numFmtId="0" fontId="4" fillId="5" borderId="1" xfId="3" applyFont="1" applyFill="1" applyBorder="1"/>
    <xf numFmtId="0" fontId="0" fillId="5" borderId="7" xfId="0" applyFill="1" applyBorder="1"/>
    <xf numFmtId="0" fontId="0" fillId="2" borderId="8" xfId="0" applyFill="1" applyBorder="1"/>
    <xf numFmtId="0" fontId="3" fillId="0" borderId="9" xfId="3" applyBorder="1"/>
    <xf numFmtId="0" fontId="4" fillId="0" borderId="8" xfId="3" applyFont="1" applyBorder="1"/>
    <xf numFmtId="10" fontId="3" fillId="4" borderId="9" xfId="3" applyNumberFormat="1" applyFill="1" applyBorder="1"/>
    <xf numFmtId="10" fontId="0" fillId="0" borderId="0" xfId="0" applyNumberFormat="1"/>
    <xf numFmtId="10" fontId="0" fillId="4" borderId="11" xfId="0" applyNumberFormat="1" applyFill="1" applyBorder="1"/>
    <xf numFmtId="10" fontId="2" fillId="4" borderId="8" xfId="1" applyNumberFormat="1" applyFont="1" applyFill="1" applyBorder="1" applyAlignment="1">
      <alignment horizontal="right"/>
    </xf>
    <xf numFmtId="10" fontId="4" fillId="4" borderId="8" xfId="3" applyNumberFormat="1" applyFont="1" applyFill="1" applyBorder="1"/>
    <xf numFmtId="0" fontId="3" fillId="2" borderId="8" xfId="3" applyFill="1" applyBorder="1"/>
    <xf numFmtId="0" fontId="3" fillId="0" borderId="10" xfId="3" applyBorder="1"/>
    <xf numFmtId="0" fontId="0" fillId="3" borderId="7" xfId="0" applyFill="1" applyBorder="1"/>
    <xf numFmtId="0" fontId="3" fillId="4" borderId="4" xfId="3" applyFill="1" applyBorder="1"/>
    <xf numFmtId="0" fontId="3" fillId="4" borderId="5" xfId="3" applyFill="1" applyBorder="1"/>
    <xf numFmtId="0" fontId="3" fillId="4" borderId="10" xfId="3" applyFill="1" applyBorder="1"/>
    <xf numFmtId="0" fontId="5" fillId="3" borderId="11" xfId="0" applyFont="1" applyFill="1" applyBorder="1"/>
    <xf numFmtId="9" fontId="2" fillId="3" borderId="8" xfId="1" applyFont="1" applyFill="1" applyBorder="1" applyAlignment="1">
      <alignment horizontal="right"/>
    </xf>
    <xf numFmtId="9" fontId="0" fillId="3" borderId="9" xfId="1" applyFont="1" applyFill="1" applyBorder="1"/>
    <xf numFmtId="9" fontId="0" fillId="3" borderId="10" xfId="1" applyFont="1" applyFill="1" applyBorder="1"/>
    <xf numFmtId="9" fontId="2" fillId="3" borderId="8" xfId="1" applyFont="1" applyFill="1" applyBorder="1"/>
    <xf numFmtId="0" fontId="2" fillId="4" borderId="6" xfId="0" applyFont="1" applyFill="1" applyBorder="1"/>
    <xf numFmtId="10" fontId="2" fillId="4" borderId="11" xfId="0" applyNumberFormat="1" applyFont="1" applyFill="1" applyBorder="1"/>
    <xf numFmtId="0" fontId="2" fillId="5" borderId="6" xfId="0" applyFont="1" applyFill="1" applyBorder="1"/>
    <xf numFmtId="9" fontId="2" fillId="5" borderId="8" xfId="1" applyFont="1" applyFill="1" applyBorder="1" applyAlignment="1">
      <alignment horizontal="right"/>
    </xf>
    <xf numFmtId="0" fontId="2" fillId="4" borderId="4" xfId="0" applyFont="1" applyFill="1" applyBorder="1"/>
    <xf numFmtId="0" fontId="2" fillId="4" borderId="10" xfId="0" applyFont="1" applyFill="1" applyBorder="1"/>
    <xf numFmtId="9" fontId="0" fillId="5" borderId="9" xfId="1" applyFont="1" applyFill="1" applyBorder="1"/>
    <xf numFmtId="9" fontId="3" fillId="5" borderId="9" xfId="1" applyFont="1" applyFill="1" applyBorder="1"/>
    <xf numFmtId="0" fontId="2" fillId="5" borderId="4" xfId="0" applyFont="1" applyFill="1" applyBorder="1"/>
    <xf numFmtId="9" fontId="2" fillId="5" borderId="10" xfId="1" applyFont="1" applyFill="1" applyBorder="1"/>
    <xf numFmtId="0" fontId="2" fillId="3" borderId="4" xfId="0" applyFont="1" applyFill="1" applyBorder="1"/>
    <xf numFmtId="9" fontId="2" fillId="3" borderId="10" xfId="1" applyFont="1" applyFill="1" applyBorder="1"/>
    <xf numFmtId="9" fontId="3" fillId="4" borderId="9" xfId="3" applyNumberFormat="1" applyFill="1" applyBorder="1"/>
    <xf numFmtId="0" fontId="2" fillId="4" borderId="11" xfId="0" applyFont="1" applyFill="1" applyBorder="1"/>
    <xf numFmtId="0" fontId="2" fillId="5" borderId="11" xfId="0" applyFont="1" applyFill="1" applyBorder="1"/>
    <xf numFmtId="0" fontId="2" fillId="3" borderId="6" xfId="0" applyFont="1" applyFill="1" applyBorder="1"/>
    <xf numFmtId="0" fontId="2" fillId="3" borderId="11" xfId="0" applyFont="1" applyFill="1" applyBorder="1"/>
    <xf numFmtId="0" fontId="6" fillId="0" borderId="0" xfId="3" applyFont="1"/>
    <xf numFmtId="0" fontId="6" fillId="0" borderId="3" xfId="3" applyFont="1" applyBorder="1"/>
    <xf numFmtId="0" fontId="7" fillId="0" borderId="3" xfId="0" applyFont="1" applyBorder="1"/>
    <xf numFmtId="0" fontId="7" fillId="0" borderId="0" xfId="0" applyFont="1"/>
    <xf numFmtId="0" fontId="6" fillId="4" borderId="3" xfId="3" applyFont="1" applyFill="1" applyBorder="1"/>
    <xf numFmtId="0" fontId="6" fillId="4" borderId="0" xfId="3" applyFont="1" applyFill="1"/>
    <xf numFmtId="0" fontId="6" fillId="5" borderId="3" xfId="3" applyFont="1" applyFill="1" applyBorder="1"/>
    <xf numFmtId="0" fontId="6" fillId="5" borderId="0" xfId="3" applyFont="1" applyFill="1"/>
    <xf numFmtId="0" fontId="6" fillId="3" borderId="0" xfId="3" applyFont="1" applyFill="1"/>
    <xf numFmtId="9" fontId="6" fillId="5" borderId="0" xfId="1" applyFont="1" applyFill="1" applyBorder="1"/>
    <xf numFmtId="0" fontId="6" fillId="5" borderId="9" xfId="1" applyNumberFormat="1" applyFont="1" applyFill="1" applyBorder="1"/>
    <xf numFmtId="9" fontId="6" fillId="3" borderId="0" xfId="1" applyFont="1" applyFill="1" applyBorder="1"/>
    <xf numFmtId="0" fontId="6" fillId="5" borderId="9" xfId="1" applyNumberFormat="1" applyFont="1" applyFill="1" applyBorder="1" applyAlignment="1">
      <alignment horizontal="right"/>
    </xf>
    <xf numFmtId="9" fontId="6" fillId="5" borderId="0" xfId="3" applyNumberFormat="1" applyFont="1" applyFill="1"/>
    <xf numFmtId="9" fontId="6" fillId="5" borderId="9" xfId="3" applyNumberFormat="1" applyFont="1" applyFill="1" applyBorder="1"/>
    <xf numFmtId="0" fontId="8" fillId="0" borderId="13" xfId="3" applyFont="1" applyBorder="1"/>
    <xf numFmtId="0" fontId="8" fillId="0" borderId="0" xfId="3" applyFont="1"/>
    <xf numFmtId="0" fontId="9" fillId="0" borderId="0" xfId="0" applyFont="1"/>
    <xf numFmtId="0" fontId="9" fillId="0" borderId="0" xfId="0" applyFont="1" applyAlignment="1">
      <alignment horizontal="right"/>
    </xf>
    <xf numFmtId="9" fontId="9" fillId="0" borderId="0" xfId="1" applyFont="1" applyFill="1" applyBorder="1" applyAlignment="1">
      <alignment horizontal="right"/>
    </xf>
    <xf numFmtId="0" fontId="6" fillId="0" borderId="15" xfId="3" applyFont="1" applyBorder="1"/>
    <xf numFmtId="9" fontId="6" fillId="4" borderId="0" xfId="3" applyNumberFormat="1" applyFont="1" applyFill="1"/>
    <xf numFmtId="9" fontId="6" fillId="4" borderId="9" xfId="3" applyNumberFormat="1" applyFont="1" applyFill="1" applyBorder="1"/>
    <xf numFmtId="0" fontId="8" fillId="2" borderId="1" xfId="3" applyFont="1" applyFill="1" applyBorder="1"/>
    <xf numFmtId="0" fontId="8" fillId="2" borderId="8" xfId="3" applyFont="1" applyFill="1" applyBorder="1"/>
    <xf numFmtId="0" fontId="6" fillId="4" borderId="5" xfId="3" applyFont="1" applyFill="1" applyBorder="1"/>
    <xf numFmtId="0" fontId="8" fillId="2" borderId="6" xfId="3" applyFont="1" applyFill="1" applyBorder="1"/>
    <xf numFmtId="0" fontId="8" fillId="2" borderId="4" xfId="3" applyFont="1" applyFill="1" applyBorder="1"/>
    <xf numFmtId="0" fontId="8" fillId="0" borderId="6" xfId="3" applyFont="1" applyBorder="1"/>
    <xf numFmtId="0" fontId="6" fillId="0" borderId="6" xfId="3" applyFont="1" applyBorder="1"/>
    <xf numFmtId="0" fontId="8" fillId="0" borderId="1" xfId="3" applyFont="1" applyBorder="1"/>
    <xf numFmtId="0" fontId="8" fillId="4" borderId="2" xfId="3" applyFont="1" applyFill="1" applyBorder="1"/>
    <xf numFmtId="0" fontId="8" fillId="3" borderId="2" xfId="3" applyFont="1" applyFill="1" applyBorder="1"/>
    <xf numFmtId="0" fontId="9" fillId="3" borderId="5" xfId="0" applyFont="1" applyFill="1" applyBorder="1"/>
    <xf numFmtId="9" fontId="9" fillId="3" borderId="5" xfId="1" applyFont="1" applyFill="1" applyBorder="1"/>
    <xf numFmtId="9" fontId="9" fillId="0" borderId="0" xfId="1" applyFont="1" applyFill="1" applyBorder="1"/>
    <xf numFmtId="0" fontId="8" fillId="2" borderId="14" xfId="3" applyFont="1" applyFill="1" applyBorder="1"/>
    <xf numFmtId="0" fontId="9" fillId="5" borderId="7" xfId="0" applyFont="1" applyFill="1" applyBorder="1"/>
    <xf numFmtId="9" fontId="9" fillId="5" borderId="7" xfId="1" applyFont="1" applyFill="1" applyBorder="1"/>
    <xf numFmtId="0" fontId="8" fillId="2" borderId="15" xfId="3" applyFont="1" applyFill="1" applyBorder="1"/>
    <xf numFmtId="0" fontId="8" fillId="2" borderId="16" xfId="3" applyFont="1" applyFill="1" applyBorder="1"/>
    <xf numFmtId="0" fontId="8" fillId="2" borderId="2" xfId="3" applyFont="1" applyFill="1" applyBorder="1"/>
    <xf numFmtId="0" fontId="8" fillId="5" borderId="2" xfId="3" applyFont="1" applyFill="1" applyBorder="1"/>
    <xf numFmtId="0" fontId="10" fillId="0" borderId="0" xfId="0" applyFont="1"/>
    <xf numFmtId="0" fontId="7" fillId="0" borderId="1" xfId="0" applyFont="1" applyBorder="1"/>
    <xf numFmtId="0" fontId="7" fillId="4" borderId="2" xfId="0" applyFont="1" applyFill="1" applyBorder="1"/>
    <xf numFmtId="0" fontId="9" fillId="4" borderId="2" xfId="0" applyFont="1" applyFill="1" applyBorder="1"/>
    <xf numFmtId="9" fontId="9" fillId="4" borderId="2" xfId="1" applyFont="1" applyFill="1" applyBorder="1"/>
    <xf numFmtId="0" fontId="7" fillId="3" borderId="1" xfId="0" applyFont="1" applyFill="1" applyBorder="1"/>
    <xf numFmtId="0" fontId="9" fillId="3" borderId="2" xfId="0" applyFont="1" applyFill="1" applyBorder="1"/>
    <xf numFmtId="9" fontId="9" fillId="3" borderId="2" xfId="1" applyFont="1" applyFill="1" applyBorder="1"/>
    <xf numFmtId="0" fontId="9" fillId="2" borderId="1" xfId="0" applyFont="1" applyFill="1" applyBorder="1"/>
    <xf numFmtId="0" fontId="7" fillId="2" borderId="2" xfId="0" applyFont="1" applyFill="1" applyBorder="1"/>
    <xf numFmtId="0" fontId="9" fillId="5" borderId="1" xfId="0" applyFont="1" applyFill="1" applyBorder="1"/>
    <xf numFmtId="0" fontId="9" fillId="5" borderId="2" xfId="0" applyFont="1" applyFill="1" applyBorder="1" applyAlignment="1">
      <alignment horizontal="right"/>
    </xf>
    <xf numFmtId="9" fontId="9" fillId="5" borderId="2" xfId="1" applyFont="1" applyFill="1" applyBorder="1" applyAlignment="1">
      <alignment horizontal="right"/>
    </xf>
    <xf numFmtId="9" fontId="9" fillId="5" borderId="8" xfId="1" applyFont="1" applyFill="1" applyBorder="1" applyAlignment="1">
      <alignment horizontal="right"/>
    </xf>
    <xf numFmtId="0" fontId="9" fillId="3" borderId="2" xfId="0" applyFont="1" applyFill="1" applyBorder="1" applyAlignment="1">
      <alignment horizontal="right"/>
    </xf>
    <xf numFmtId="9" fontId="9" fillId="3" borderId="2" xfId="1" applyFont="1" applyFill="1" applyBorder="1" applyAlignment="1">
      <alignment horizontal="right"/>
    </xf>
    <xf numFmtId="0" fontId="7" fillId="4" borderId="3" xfId="0" applyFont="1" applyFill="1" applyBorder="1"/>
    <xf numFmtId="0" fontId="7" fillId="4" borderId="0" xfId="0" applyFont="1" applyFill="1"/>
    <xf numFmtId="0" fontId="7" fillId="4" borderId="9" xfId="0" applyFont="1" applyFill="1" applyBorder="1"/>
    <xf numFmtId="0" fontId="7" fillId="5" borderId="3" xfId="0" applyFont="1" applyFill="1" applyBorder="1"/>
    <xf numFmtId="0" fontId="7" fillId="5" borderId="0" xfId="0" applyFont="1" applyFill="1"/>
    <xf numFmtId="9" fontId="7" fillId="5" borderId="0" xfId="1" applyFont="1" applyFill="1" applyBorder="1"/>
    <xf numFmtId="0" fontId="7" fillId="5" borderId="9" xfId="1" applyNumberFormat="1" applyFont="1" applyFill="1" applyBorder="1"/>
    <xf numFmtId="0" fontId="7" fillId="3" borderId="0" xfId="0" applyFont="1" applyFill="1"/>
    <xf numFmtId="9" fontId="7" fillId="3" borderId="0" xfId="1" applyFont="1" applyFill="1" applyBorder="1"/>
    <xf numFmtId="0" fontId="7" fillId="3" borderId="9" xfId="0" applyFont="1" applyFill="1" applyBorder="1"/>
    <xf numFmtId="0" fontId="7" fillId="0" borderId="12" xfId="0" applyFont="1" applyBorder="1"/>
    <xf numFmtId="0" fontId="9" fillId="5" borderId="5" xfId="0" applyFont="1" applyFill="1" applyBorder="1"/>
    <xf numFmtId="9" fontId="7" fillId="0" borderId="0" xfId="1" applyFont="1" applyFill="1"/>
    <xf numFmtId="0" fontId="9" fillId="2" borderId="2" xfId="0" applyFont="1" applyFill="1" applyBorder="1"/>
    <xf numFmtId="0" fontId="7" fillId="3" borderId="2" xfId="0" applyFont="1" applyFill="1" applyBorder="1"/>
    <xf numFmtId="9" fontId="7" fillId="3" borderId="0" xfId="1" applyFont="1" applyFill="1"/>
    <xf numFmtId="0" fontId="7" fillId="4" borderId="1" xfId="0" applyFont="1" applyFill="1" applyBorder="1"/>
    <xf numFmtId="0" fontId="7" fillId="3" borderId="8" xfId="0" applyFont="1" applyFill="1" applyBorder="1"/>
    <xf numFmtId="9" fontId="7" fillId="3" borderId="9" xfId="1" applyFont="1" applyFill="1" applyBorder="1"/>
    <xf numFmtId="0" fontId="7" fillId="3" borderId="5" xfId="0" applyFont="1" applyFill="1" applyBorder="1"/>
    <xf numFmtId="9" fontId="7" fillId="3" borderId="5" xfId="1" applyFont="1" applyFill="1" applyBorder="1"/>
    <xf numFmtId="9" fontId="7" fillId="3" borderId="10" xfId="1" applyFont="1" applyFill="1" applyBorder="1"/>
    <xf numFmtId="0" fontId="9" fillId="4" borderId="7" xfId="0" applyFont="1" applyFill="1" applyBorder="1"/>
    <xf numFmtId="9" fontId="9" fillId="4" borderId="7" xfId="1" applyFont="1" applyFill="1" applyBorder="1"/>
    <xf numFmtId="0" fontId="9" fillId="3" borderId="7" xfId="0" applyFont="1" applyFill="1" applyBorder="1"/>
    <xf numFmtId="9" fontId="9" fillId="3" borderId="7" xfId="1" applyFont="1" applyFill="1" applyBorder="1"/>
    <xf numFmtId="0" fontId="9" fillId="4" borderId="5" xfId="0" applyFont="1" applyFill="1" applyBorder="1"/>
    <xf numFmtId="9" fontId="9" fillId="4" borderId="5" xfId="1" applyFont="1" applyFill="1" applyBorder="1"/>
    <xf numFmtId="9" fontId="7" fillId="0" borderId="0" xfId="1" applyFont="1" applyBorder="1"/>
    <xf numFmtId="9" fontId="7" fillId="0" borderId="0" xfId="1" applyFont="1" applyFill="1" applyBorder="1"/>
    <xf numFmtId="0" fontId="9" fillId="0" borderId="7" xfId="0" applyFont="1" applyBorder="1"/>
    <xf numFmtId="0" fontId="7" fillId="0" borderId="7" xfId="0" applyFont="1" applyBorder="1"/>
    <xf numFmtId="9" fontId="7" fillId="0" borderId="7" xfId="1" applyFont="1" applyFill="1" applyBorder="1"/>
    <xf numFmtId="0" fontId="7" fillId="2" borderId="7" xfId="0" applyFont="1" applyFill="1" applyBorder="1"/>
    <xf numFmtId="0" fontId="7" fillId="2" borderId="0" xfId="0" applyFont="1" applyFill="1"/>
    <xf numFmtId="0" fontId="9" fillId="3" borderId="0" xfId="0" applyFont="1" applyFill="1"/>
    <xf numFmtId="0" fontId="9" fillId="5" borderId="0" xfId="0" applyFont="1" applyFill="1"/>
    <xf numFmtId="0" fontId="11" fillId="0" borderId="0" xfId="0" applyFont="1"/>
    <xf numFmtId="0" fontId="9" fillId="5" borderId="2" xfId="0" applyFont="1" applyFill="1" applyBorder="1"/>
    <xf numFmtId="0" fontId="6" fillId="0" borderId="4" xfId="3" applyFont="1" applyBorder="1"/>
    <xf numFmtId="9" fontId="7" fillId="4" borderId="0" xfId="0" applyNumberFormat="1" applyFont="1" applyFill="1"/>
    <xf numFmtId="9" fontId="9" fillId="5" borderId="2" xfId="1" applyFont="1" applyFill="1" applyBorder="1"/>
    <xf numFmtId="9" fontId="9" fillId="5" borderId="8" xfId="1" applyFont="1" applyFill="1" applyBorder="1"/>
    <xf numFmtId="9" fontId="8" fillId="4" borderId="2" xfId="3" applyNumberFormat="1" applyFont="1" applyFill="1" applyBorder="1"/>
    <xf numFmtId="0" fontId="8" fillId="4" borderId="8" xfId="3" applyFont="1" applyFill="1" applyBorder="1"/>
    <xf numFmtId="10" fontId="7" fillId="4" borderId="9" xfId="0" applyNumberFormat="1" applyFont="1" applyFill="1" applyBorder="1"/>
    <xf numFmtId="10" fontId="6" fillId="4" borderId="9" xfId="3" applyNumberFormat="1" applyFont="1" applyFill="1" applyBorder="1"/>
    <xf numFmtId="9" fontId="9" fillId="4" borderId="2" xfId="0" applyNumberFormat="1" applyFont="1" applyFill="1" applyBorder="1"/>
    <xf numFmtId="9" fontId="9" fillId="3" borderId="2" xfId="0" applyNumberFormat="1" applyFont="1" applyFill="1" applyBorder="1"/>
    <xf numFmtId="0" fontId="9" fillId="2" borderId="8" xfId="0" applyFont="1" applyFill="1" applyBorder="1"/>
    <xf numFmtId="0" fontId="8" fillId="0" borderId="17" xfId="3" applyFont="1" applyBorder="1"/>
    <xf numFmtId="9" fontId="9" fillId="5" borderId="11" xfId="1" applyFont="1" applyFill="1" applyBorder="1"/>
    <xf numFmtId="0" fontId="7" fillId="5" borderId="9" xfId="0" applyFont="1" applyFill="1" applyBorder="1"/>
    <xf numFmtId="0" fontId="9" fillId="4" borderId="6" xfId="0" applyFont="1" applyFill="1" applyBorder="1"/>
    <xf numFmtId="0" fontId="7" fillId="5" borderId="2" xfId="0" applyFont="1" applyFill="1" applyBorder="1"/>
    <xf numFmtId="0" fontId="8" fillId="4" borderId="7" xfId="3" applyFont="1" applyFill="1" applyBorder="1"/>
    <xf numFmtId="9" fontId="8" fillId="4" borderId="7" xfId="3" applyNumberFormat="1" applyFont="1" applyFill="1" applyBorder="1"/>
    <xf numFmtId="0" fontId="8" fillId="4" borderId="5" xfId="3" applyFont="1" applyFill="1" applyBorder="1"/>
    <xf numFmtId="9" fontId="8" fillId="4" borderId="5" xfId="3" applyNumberFormat="1" applyFont="1" applyFill="1" applyBorder="1"/>
    <xf numFmtId="0" fontId="8" fillId="5" borderId="5" xfId="3" applyFont="1" applyFill="1" applyBorder="1"/>
    <xf numFmtId="9" fontId="6" fillId="5" borderId="9" xfId="1" applyFont="1" applyFill="1" applyBorder="1"/>
    <xf numFmtId="0" fontId="6" fillId="5" borderId="9" xfId="3" applyFont="1" applyFill="1" applyBorder="1"/>
    <xf numFmtId="9" fontId="7" fillId="5" borderId="9" xfId="1" applyFont="1" applyFill="1" applyBorder="1"/>
    <xf numFmtId="9" fontId="9" fillId="5" borderId="2" xfId="0" applyNumberFormat="1" applyFont="1" applyFill="1" applyBorder="1"/>
    <xf numFmtId="0" fontId="7" fillId="5" borderId="8" xfId="0" applyFont="1" applyFill="1" applyBorder="1"/>
    <xf numFmtId="0" fontId="9" fillId="4" borderId="8" xfId="0" applyFont="1" applyFill="1" applyBorder="1"/>
    <xf numFmtId="9" fontId="9" fillId="4" borderId="11" xfId="1" applyFont="1" applyFill="1" applyBorder="1"/>
    <xf numFmtId="0" fontId="6" fillId="5" borderId="4" xfId="3" applyFont="1" applyFill="1" applyBorder="1"/>
    <xf numFmtId="0" fontId="6" fillId="5" borderId="5" xfId="3" applyFont="1" applyFill="1" applyBorder="1"/>
    <xf numFmtId="0" fontId="6" fillId="5" borderId="10" xfId="3" applyFont="1" applyFill="1" applyBorder="1"/>
    <xf numFmtId="0" fontId="9" fillId="4" borderId="4" xfId="0" applyFont="1" applyFill="1" applyBorder="1"/>
    <xf numFmtId="9" fontId="9" fillId="4" borderId="10" xfId="1" applyFont="1" applyFill="1" applyBorder="1"/>
    <xf numFmtId="9" fontId="9" fillId="5" borderId="5" xfId="1" applyFont="1" applyFill="1" applyBorder="1"/>
    <xf numFmtId="0" fontId="8" fillId="2" borderId="7" xfId="3" applyFont="1" applyFill="1" applyBorder="1"/>
    <xf numFmtId="0" fontId="8" fillId="2" borderId="5" xfId="3" applyFont="1" applyFill="1" applyBorder="1"/>
    <xf numFmtId="0" fontId="6" fillId="5" borderId="6" xfId="3" applyFont="1" applyFill="1" applyBorder="1"/>
    <xf numFmtId="0" fontId="6" fillId="5" borderId="7" xfId="3" applyFont="1" applyFill="1" applyBorder="1"/>
    <xf numFmtId="0" fontId="6" fillId="5" borderId="11" xfId="3" applyFont="1" applyFill="1" applyBorder="1"/>
    <xf numFmtId="0" fontId="2" fillId="6" borderId="7" xfId="0" applyFont="1" applyFill="1" applyBorder="1"/>
    <xf numFmtId="0" fontId="4" fillId="6" borderId="2" xfId="3" applyFont="1" applyFill="1" applyBorder="1"/>
    <xf numFmtId="0" fontId="3" fillId="6" borderId="0" xfId="3" applyFill="1"/>
    <xf numFmtId="0" fontId="3" fillId="6" borderId="5" xfId="3" applyFill="1" applyBorder="1"/>
    <xf numFmtId="0" fontId="2" fillId="8" borderId="6" xfId="0" applyFont="1" applyFill="1" applyBorder="1"/>
    <xf numFmtId="0" fontId="2" fillId="8" borderId="7" xfId="0" applyFont="1" applyFill="1" applyBorder="1"/>
    <xf numFmtId="0" fontId="2" fillId="8" borderId="11" xfId="0" applyFont="1" applyFill="1" applyBorder="1"/>
    <xf numFmtId="0" fontId="4" fillId="8" borderId="1" xfId="3" applyFont="1" applyFill="1" applyBorder="1"/>
    <xf numFmtId="0" fontId="4" fillId="8" borderId="2" xfId="3" applyFont="1" applyFill="1" applyBorder="1"/>
    <xf numFmtId="0" fontId="4" fillId="8" borderId="8" xfId="3" applyFont="1" applyFill="1" applyBorder="1"/>
    <xf numFmtId="0" fontId="4" fillId="8" borderId="3" xfId="3" applyFont="1" applyFill="1" applyBorder="1"/>
    <xf numFmtId="0" fontId="4" fillId="8" borderId="0" xfId="3" applyFont="1" applyFill="1"/>
    <xf numFmtId="0" fontId="4" fillId="8" borderId="9" xfId="3" applyFont="1" applyFill="1" applyBorder="1"/>
    <xf numFmtId="0" fontId="2" fillId="8" borderId="4" xfId="0" applyFont="1" applyFill="1" applyBorder="1"/>
    <xf numFmtId="0" fontId="2" fillId="8" borderId="5" xfId="0" applyFont="1" applyFill="1" applyBorder="1"/>
    <xf numFmtId="0" fontId="2" fillId="8" borderId="10" xfId="0" applyFont="1" applyFill="1" applyBorder="1"/>
    <xf numFmtId="0" fontId="3" fillId="2" borderId="2" xfId="3" applyFill="1" applyBorder="1"/>
    <xf numFmtId="0" fontId="2" fillId="9" borderId="7" xfId="0" applyFont="1" applyFill="1" applyBorder="1"/>
    <xf numFmtId="0" fontId="2" fillId="9" borderId="2" xfId="0" applyFont="1" applyFill="1" applyBorder="1"/>
    <xf numFmtId="0" fontId="3" fillId="9" borderId="0" xfId="3" applyFill="1"/>
    <xf numFmtId="0" fontId="4" fillId="9" borderId="2" xfId="3" applyFont="1" applyFill="1" applyBorder="1"/>
    <xf numFmtId="9" fontId="4" fillId="9" borderId="2" xfId="3" applyNumberFormat="1" applyFont="1" applyFill="1" applyBorder="1"/>
    <xf numFmtId="0" fontId="0" fillId="3" borderId="11" xfId="0" applyFill="1" applyBorder="1"/>
    <xf numFmtId="0" fontId="4" fillId="3" borderId="1" xfId="3" applyFont="1" applyFill="1" applyBorder="1"/>
    <xf numFmtId="0" fontId="9" fillId="4" borderId="2" xfId="0" applyFont="1" applyFill="1" applyBorder="1" applyAlignment="1">
      <alignment horizontal="right"/>
    </xf>
    <xf numFmtId="0" fontId="9" fillId="4" borderId="10" xfId="0" applyFont="1" applyFill="1" applyBorder="1"/>
    <xf numFmtId="10" fontId="6" fillId="10" borderId="9" xfId="3" applyNumberFormat="1" applyFont="1" applyFill="1" applyBorder="1"/>
    <xf numFmtId="0" fontId="6" fillId="10" borderId="9" xfId="1" applyNumberFormat="1" applyFont="1" applyFill="1" applyBorder="1"/>
    <xf numFmtId="9" fontId="6" fillId="10" borderId="9" xfId="3" applyNumberFormat="1" applyFont="1" applyFill="1" applyBorder="1"/>
    <xf numFmtId="9" fontId="8" fillId="0" borderId="0" xfId="3" applyNumberFormat="1" applyFont="1"/>
    <xf numFmtId="0" fontId="9" fillId="0" borderId="2" xfId="0" applyFont="1" applyBorder="1"/>
    <xf numFmtId="0" fontId="9" fillId="0" borderId="1" xfId="0" applyFont="1" applyBorder="1"/>
    <xf numFmtId="0" fontId="9" fillId="0" borderId="8" xfId="0" applyFont="1" applyBorder="1"/>
    <xf numFmtId="0" fontId="8" fillId="0" borderId="2" xfId="3" applyFont="1" applyBorder="1"/>
    <xf numFmtId="0" fontId="8" fillId="0" borderId="8" xfId="3" applyFont="1" applyBorder="1"/>
    <xf numFmtId="0" fontId="9" fillId="0" borderId="3" xfId="0" applyFont="1" applyBorder="1"/>
    <xf numFmtId="0" fontId="9" fillId="3" borderId="18" xfId="0" applyFont="1" applyFill="1" applyBorder="1"/>
    <xf numFmtId="0" fontId="9" fillId="3" borderId="19" xfId="0" applyFont="1" applyFill="1" applyBorder="1" applyAlignment="1">
      <alignment horizontal="right"/>
    </xf>
    <xf numFmtId="9" fontId="9" fillId="3" borderId="20" xfId="1" applyFont="1" applyFill="1" applyBorder="1"/>
    <xf numFmtId="0" fontId="9" fillId="4" borderId="0" xfId="0" applyFont="1" applyFill="1"/>
    <xf numFmtId="9" fontId="6" fillId="3" borderId="0" xfId="3" applyNumberFormat="1" applyFont="1" applyFill="1"/>
    <xf numFmtId="0" fontId="9" fillId="3" borderId="1" xfId="0" applyFont="1" applyFill="1" applyBorder="1"/>
    <xf numFmtId="0" fontId="8" fillId="3" borderId="8" xfId="3" applyFont="1" applyFill="1" applyBorder="1"/>
    <xf numFmtId="0" fontId="6" fillId="3" borderId="6" xfId="3" applyFont="1" applyFill="1" applyBorder="1"/>
    <xf numFmtId="0" fontId="6" fillId="3" borderId="7" xfId="3" applyFont="1" applyFill="1" applyBorder="1"/>
    <xf numFmtId="9" fontId="6" fillId="3" borderId="7" xfId="3" applyNumberFormat="1" applyFont="1" applyFill="1" applyBorder="1"/>
    <xf numFmtId="0" fontId="6" fillId="3" borderId="11" xfId="3" applyFont="1" applyFill="1" applyBorder="1"/>
    <xf numFmtId="0" fontId="6" fillId="3" borderId="4" xfId="3" applyFont="1" applyFill="1" applyBorder="1"/>
    <xf numFmtId="0" fontId="6" fillId="3" borderId="5" xfId="3" applyFont="1" applyFill="1" applyBorder="1"/>
    <xf numFmtId="9" fontId="6" fillId="3" borderId="5" xfId="3" applyNumberFormat="1" applyFont="1" applyFill="1" applyBorder="1"/>
    <xf numFmtId="0" fontId="6" fillId="3" borderId="10" xfId="3" applyFont="1" applyFill="1" applyBorder="1"/>
    <xf numFmtId="0" fontId="9" fillId="3" borderId="8" xfId="0" applyFont="1" applyFill="1" applyBorder="1"/>
    <xf numFmtId="0" fontId="9" fillId="3" borderId="4" xfId="0" applyFont="1" applyFill="1" applyBorder="1"/>
    <xf numFmtId="0" fontId="9" fillId="3" borderId="10" xfId="0" applyFont="1" applyFill="1" applyBorder="1"/>
    <xf numFmtId="0" fontId="7" fillId="3" borderId="3" xfId="0" applyFont="1" applyFill="1" applyBorder="1"/>
    <xf numFmtId="9" fontId="7" fillId="3" borderId="0" xfId="0" applyNumberFormat="1" applyFont="1" applyFill="1"/>
    <xf numFmtId="10" fontId="7" fillId="3" borderId="9" xfId="0" applyNumberFormat="1" applyFont="1" applyFill="1" applyBorder="1"/>
    <xf numFmtId="0" fontId="6" fillId="3" borderId="3" xfId="3" applyFont="1" applyFill="1" applyBorder="1"/>
    <xf numFmtId="10" fontId="6" fillId="3" borderId="9" xfId="3" applyNumberFormat="1" applyFont="1" applyFill="1" applyBorder="1"/>
    <xf numFmtId="9" fontId="6" fillId="3" borderId="9" xfId="3" applyNumberFormat="1" applyFont="1" applyFill="1" applyBorder="1"/>
    <xf numFmtId="10" fontId="6" fillId="3" borderId="0" xfId="3" applyNumberFormat="1" applyFont="1" applyFill="1"/>
    <xf numFmtId="0" fontId="8" fillId="3" borderId="1" xfId="3" applyFont="1" applyFill="1" applyBorder="1"/>
    <xf numFmtId="9" fontId="8" fillId="3" borderId="2" xfId="3" applyNumberFormat="1" applyFont="1" applyFill="1" applyBorder="1"/>
    <xf numFmtId="0" fontId="8" fillId="3" borderId="7" xfId="3" applyFont="1" applyFill="1" applyBorder="1"/>
    <xf numFmtId="0" fontId="8" fillId="3" borderId="5" xfId="3" applyFont="1" applyFill="1" applyBorder="1"/>
    <xf numFmtId="0" fontId="6" fillId="3" borderId="9" xfId="3" applyFont="1" applyFill="1" applyBorder="1"/>
    <xf numFmtId="0" fontId="8" fillId="3" borderId="6" xfId="3" applyFont="1" applyFill="1" applyBorder="1"/>
    <xf numFmtId="0" fontId="8" fillId="3" borderId="11" xfId="3" applyFont="1" applyFill="1" applyBorder="1"/>
    <xf numFmtId="0" fontId="8" fillId="3" borderId="4" xfId="3" applyFont="1" applyFill="1" applyBorder="1"/>
    <xf numFmtId="0" fontId="8" fillId="3" borderId="10" xfId="3" applyFont="1" applyFill="1" applyBorder="1"/>
    <xf numFmtId="0" fontId="7" fillId="2" borderId="17" xfId="0" applyFont="1" applyFill="1" applyBorder="1"/>
    <xf numFmtId="0" fontId="7" fillId="3" borderId="7" xfId="0" applyFont="1" applyFill="1" applyBorder="1"/>
    <xf numFmtId="0" fontId="7" fillId="4" borderId="7" xfId="0" applyFont="1" applyFill="1" applyBorder="1"/>
    <xf numFmtId="0" fontId="7" fillId="4" borderId="11" xfId="0" applyFont="1" applyFill="1" applyBorder="1"/>
    <xf numFmtId="0" fontId="9" fillId="4" borderId="3" xfId="0" applyFont="1" applyFill="1" applyBorder="1"/>
    <xf numFmtId="0" fontId="7" fillId="4" borderId="5" xfId="0" applyFont="1" applyFill="1" applyBorder="1"/>
    <xf numFmtId="0" fontId="7" fillId="4" borderId="10" xfId="0" applyFont="1" applyFill="1" applyBorder="1"/>
    <xf numFmtId="0" fontId="3" fillId="7" borderId="0" xfId="3" applyFill="1"/>
    <xf numFmtId="0" fontId="3" fillId="9" borderId="6" xfId="3" applyFill="1" applyBorder="1"/>
    <xf numFmtId="0" fontId="3" fillId="9" borderId="7" xfId="3" applyFill="1" applyBorder="1"/>
    <xf numFmtId="9" fontId="3" fillId="9" borderId="11" xfId="3" applyNumberFormat="1" applyFill="1" applyBorder="1"/>
    <xf numFmtId="0" fontId="3" fillId="9" borderId="3" xfId="3" applyFill="1" applyBorder="1"/>
    <xf numFmtId="9" fontId="3" fillId="9" borderId="9" xfId="3" applyNumberFormat="1" applyFill="1" applyBorder="1"/>
    <xf numFmtId="0" fontId="3" fillId="9" borderId="4" xfId="3" applyFill="1" applyBorder="1"/>
    <xf numFmtId="0" fontId="3" fillId="9" borderId="5" xfId="3" applyFill="1" applyBorder="1"/>
    <xf numFmtId="9" fontId="3" fillId="9" borderId="10" xfId="3" applyNumberFormat="1" applyFill="1" applyBorder="1"/>
    <xf numFmtId="0" fontId="2" fillId="3" borderId="8" xfId="0" applyFont="1" applyFill="1" applyBorder="1"/>
    <xf numFmtId="0" fontId="3" fillId="3" borderId="6" xfId="3" applyFill="1" applyBorder="1"/>
    <xf numFmtId="0" fontId="3" fillId="3" borderId="7" xfId="3" applyFill="1" applyBorder="1"/>
    <xf numFmtId="9" fontId="3" fillId="3" borderId="11" xfId="3" applyNumberFormat="1" applyFill="1" applyBorder="1"/>
    <xf numFmtId="9" fontId="3" fillId="3" borderId="9" xfId="3" applyNumberFormat="1" applyFill="1" applyBorder="1"/>
    <xf numFmtId="0" fontId="3" fillId="3" borderId="4" xfId="3" applyFill="1" applyBorder="1"/>
    <xf numFmtId="0" fontId="3" fillId="3" borderId="5" xfId="3" applyFill="1" applyBorder="1"/>
    <xf numFmtId="9" fontId="3" fillId="3" borderId="10" xfId="3" applyNumberFormat="1" applyFill="1" applyBorder="1"/>
    <xf numFmtId="9" fontId="4" fillId="3" borderId="2" xfId="3" applyNumberFormat="1" applyFont="1" applyFill="1" applyBorder="1"/>
    <xf numFmtId="0" fontId="4" fillId="3" borderId="8" xfId="3" applyFont="1" applyFill="1" applyBorder="1"/>
    <xf numFmtId="0" fontId="3" fillId="3" borderId="11" xfId="3" applyFill="1" applyBorder="1"/>
    <xf numFmtId="9" fontId="4" fillId="3" borderId="8" xfId="3" applyNumberFormat="1" applyFont="1" applyFill="1" applyBorder="1"/>
    <xf numFmtId="9" fontId="3" fillId="6" borderId="0" xfId="3" applyNumberFormat="1" applyFill="1"/>
    <xf numFmtId="9" fontId="4" fillId="6" borderId="2" xfId="3" applyNumberFormat="1" applyFont="1" applyFill="1" applyBorder="1"/>
    <xf numFmtId="9" fontId="2" fillId="3" borderId="10" xfId="0" applyNumberFormat="1" applyFont="1" applyFill="1" applyBorder="1"/>
    <xf numFmtId="9" fontId="8" fillId="3" borderId="7" xfId="3" applyNumberFormat="1" applyFont="1" applyFill="1" applyBorder="1"/>
    <xf numFmtId="9" fontId="8" fillId="3" borderId="5" xfId="3" applyNumberFormat="1" applyFont="1" applyFill="1" applyBorder="1"/>
    <xf numFmtId="9" fontId="9" fillId="4" borderId="2" xfId="1" applyFont="1" applyFill="1" applyBorder="1" applyAlignment="1">
      <alignment horizontal="right"/>
    </xf>
    <xf numFmtId="0" fontId="6" fillId="4" borderId="0" xfId="0" applyFont="1" applyFill="1"/>
    <xf numFmtId="0" fontId="7" fillId="10" borderId="0" xfId="0" applyFont="1" applyFill="1"/>
    <xf numFmtId="0" fontId="6" fillId="3" borderId="0" xfId="0" applyFont="1" applyFill="1"/>
    <xf numFmtId="0" fontId="7" fillId="4" borderId="6" xfId="0" applyFont="1" applyFill="1" applyBorder="1"/>
    <xf numFmtId="9" fontId="7" fillId="4" borderId="7" xfId="0" applyNumberFormat="1" applyFont="1" applyFill="1" applyBorder="1"/>
    <xf numFmtId="0" fontId="6" fillId="4" borderId="3" xfId="0" applyFont="1" applyFill="1" applyBorder="1"/>
    <xf numFmtId="0" fontId="7" fillId="4" borderId="4" xfId="0" applyFont="1" applyFill="1" applyBorder="1"/>
    <xf numFmtId="9" fontId="7" fillId="4" borderId="5" xfId="0" applyNumberFormat="1" applyFont="1" applyFill="1" applyBorder="1"/>
    <xf numFmtId="0" fontId="7" fillId="4" borderId="8" xfId="0" applyFont="1" applyFill="1" applyBorder="1"/>
    <xf numFmtId="0" fontId="9" fillId="4" borderId="1" xfId="0" applyFont="1" applyFill="1" applyBorder="1"/>
    <xf numFmtId="9" fontId="9" fillId="4" borderId="8" xfId="1" applyFont="1" applyFill="1" applyBorder="1" applyAlignment="1">
      <alignment horizontal="right"/>
    </xf>
    <xf numFmtId="1" fontId="6" fillId="4" borderId="6" xfId="1" applyNumberFormat="1" applyFont="1" applyFill="1" applyBorder="1"/>
    <xf numFmtId="1" fontId="6" fillId="4" borderId="7" xfId="1" applyNumberFormat="1" applyFont="1" applyFill="1" applyBorder="1"/>
    <xf numFmtId="9" fontId="6" fillId="4" borderId="7" xfId="1" applyFont="1" applyFill="1" applyBorder="1"/>
    <xf numFmtId="9" fontId="6" fillId="4" borderId="11" xfId="1" applyFont="1" applyFill="1" applyBorder="1"/>
    <xf numFmtId="1" fontId="6" fillId="4" borderId="3" xfId="1" applyNumberFormat="1" applyFont="1" applyFill="1" applyBorder="1"/>
    <xf numFmtId="1" fontId="6" fillId="4" borderId="0" xfId="1" applyNumberFormat="1" applyFont="1" applyFill="1" applyBorder="1"/>
    <xf numFmtId="9" fontId="6" fillId="4" borderId="0" xfId="1" applyFont="1" applyFill="1" applyBorder="1"/>
    <xf numFmtId="9" fontId="6" fillId="4" borderId="9" xfId="1" applyFont="1" applyFill="1" applyBorder="1"/>
    <xf numFmtId="1" fontId="7" fillId="4" borderId="3" xfId="1" applyNumberFormat="1" applyFont="1" applyFill="1" applyBorder="1"/>
    <xf numFmtId="1" fontId="7" fillId="4" borderId="0" xfId="1" applyNumberFormat="1" applyFont="1" applyFill="1" applyBorder="1"/>
    <xf numFmtId="9" fontId="7" fillId="4" borderId="9" xfId="1" applyFont="1" applyFill="1" applyBorder="1"/>
    <xf numFmtId="1" fontId="7" fillId="4" borderId="4" xfId="1" applyNumberFormat="1" applyFont="1" applyFill="1" applyBorder="1"/>
    <xf numFmtId="1" fontId="7" fillId="4" borderId="5" xfId="1" applyNumberFormat="1" applyFont="1" applyFill="1" applyBorder="1"/>
    <xf numFmtId="9" fontId="6" fillId="4" borderId="5" xfId="1" applyFont="1" applyFill="1" applyBorder="1"/>
    <xf numFmtId="9" fontId="7" fillId="4" borderId="10" xfId="1" applyFont="1" applyFill="1" applyBorder="1"/>
    <xf numFmtId="1" fontId="7" fillId="4" borderId="1" xfId="0" applyNumberFormat="1" applyFont="1" applyFill="1" applyBorder="1"/>
    <xf numFmtId="1" fontId="7" fillId="4" borderId="2" xfId="0" applyNumberFormat="1" applyFont="1" applyFill="1" applyBorder="1"/>
    <xf numFmtId="9" fontId="6" fillId="4" borderId="2" xfId="1" applyFont="1" applyFill="1" applyBorder="1"/>
    <xf numFmtId="9" fontId="9" fillId="4" borderId="6" xfId="1" applyFont="1" applyFill="1" applyBorder="1"/>
    <xf numFmtId="1" fontId="9" fillId="4" borderId="1" xfId="1" applyNumberFormat="1" applyFont="1" applyFill="1" applyBorder="1"/>
    <xf numFmtId="1" fontId="9" fillId="4" borderId="2" xfId="1" applyNumberFormat="1" applyFont="1" applyFill="1" applyBorder="1"/>
    <xf numFmtId="9" fontId="9" fillId="4" borderId="8" xfId="1" applyFont="1" applyFill="1" applyBorder="1"/>
    <xf numFmtId="9" fontId="7" fillId="0" borderId="11" xfId="1" applyFont="1" applyFill="1" applyBorder="1"/>
    <xf numFmtId="9" fontId="7" fillId="4" borderId="9" xfId="0" applyNumberFormat="1" applyFont="1" applyFill="1" applyBorder="1"/>
    <xf numFmtId="9" fontId="7" fillId="4" borderId="10" xfId="0" applyNumberFormat="1" applyFont="1" applyFill="1" applyBorder="1"/>
    <xf numFmtId="9" fontId="7" fillId="10" borderId="11" xfId="0" applyNumberFormat="1" applyFont="1" applyFill="1" applyBorder="1"/>
    <xf numFmtId="9" fontId="7" fillId="10" borderId="9" xfId="0" applyNumberFormat="1" applyFont="1" applyFill="1" applyBorder="1"/>
    <xf numFmtId="9" fontId="6" fillId="10" borderId="9" xfId="0" applyNumberFormat="1" applyFont="1" applyFill="1" applyBorder="1"/>
    <xf numFmtId="9" fontId="8" fillId="4" borderId="8" xfId="3" applyNumberFormat="1" applyFont="1" applyFill="1" applyBorder="1"/>
    <xf numFmtId="1" fontId="9" fillId="4" borderId="6" xfId="1" applyNumberFormat="1" applyFont="1" applyFill="1" applyBorder="1"/>
    <xf numFmtId="1" fontId="9" fillId="4" borderId="4" xfId="1" applyNumberFormat="1" applyFont="1" applyFill="1" applyBorder="1"/>
    <xf numFmtId="1" fontId="9" fillId="4" borderId="7" xfId="1" applyNumberFormat="1" applyFont="1" applyFill="1" applyBorder="1"/>
    <xf numFmtId="1" fontId="9" fillId="4" borderId="5" xfId="1" applyNumberFormat="1" applyFont="1" applyFill="1" applyBorder="1"/>
    <xf numFmtId="1" fontId="9" fillId="4" borderId="0" xfId="0" applyNumberFormat="1" applyFont="1" applyFill="1"/>
    <xf numFmtId="1" fontId="9" fillId="4" borderId="5" xfId="0" applyNumberFormat="1" applyFont="1" applyFill="1" applyBorder="1"/>
    <xf numFmtId="1" fontId="9" fillId="2" borderId="2" xfId="0" applyNumberFormat="1" applyFont="1" applyFill="1" applyBorder="1"/>
    <xf numFmtId="1" fontId="7" fillId="4" borderId="6" xfId="1" applyNumberFormat="1" applyFont="1" applyFill="1" applyBorder="1"/>
    <xf numFmtId="1" fontId="7" fillId="4" borderId="7" xfId="1" applyNumberFormat="1" applyFont="1" applyFill="1" applyBorder="1"/>
    <xf numFmtId="9" fontId="7" fillId="4" borderId="7" xfId="1" applyFont="1" applyFill="1" applyBorder="1"/>
    <xf numFmtId="9" fontId="7" fillId="4" borderId="11" xfId="1" applyFont="1" applyFill="1" applyBorder="1"/>
    <xf numFmtId="9" fontId="7" fillId="4" borderId="5" xfId="1" applyFont="1" applyFill="1" applyBorder="1"/>
    <xf numFmtId="0" fontId="9" fillId="5" borderId="8" xfId="0" applyFont="1" applyFill="1" applyBorder="1"/>
    <xf numFmtId="9" fontId="9" fillId="4" borderId="8" xfId="0" applyNumberFormat="1" applyFont="1" applyFill="1" applyBorder="1"/>
    <xf numFmtId="1" fontId="9" fillId="3" borderId="8" xfId="0" applyNumberFormat="1" applyFont="1" applyFill="1" applyBorder="1"/>
    <xf numFmtId="9" fontId="8" fillId="3" borderId="8" xfId="3" applyNumberFormat="1" applyFont="1" applyFill="1" applyBorder="1"/>
  </cellXfs>
  <cellStyles count="4">
    <cellStyle name="Normal" xfId="0" builtinId="0"/>
    <cellStyle name="Normal 2" xfId="3" xr:uid="{00000000-0005-0000-0000-000001000000}"/>
    <cellStyle name="Normal 3" xfId="2" xr:uid="{00000000-0005-0000-0000-000002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22</xdr:col>
      <xdr:colOff>66675</xdr:colOff>
      <xdr:row>7</xdr:row>
      <xdr:rowOff>104776</xdr:rowOff>
    </xdr:from>
    <xdr:to>
      <xdr:col>33</xdr:col>
      <xdr:colOff>704</xdr:colOff>
      <xdr:row>17</xdr:row>
      <xdr:rowOff>66676</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9477375" y="1266826"/>
          <a:ext cx="6325304" cy="158115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t>Studieårsemner</a:t>
          </a:r>
          <a:r>
            <a:rPr lang="nb-NO" sz="1100"/>
            <a:t>: </a:t>
          </a:r>
          <a:r>
            <a:rPr lang="nb-NO" sz="1100" b="0">
              <a:solidFill>
                <a:schemeClr val="dk1"/>
              </a:solidFill>
              <a:effectLst/>
              <a:latin typeface="+mn-lt"/>
              <a:ea typeface="+mn-ea"/>
              <a:cs typeface="+mn-cs"/>
            </a:rPr>
            <a:t>Våren 2022 var det litt færre møtte kandidater på studieårsemner enn våren 2021, og langt færre enn våren 2020. </a:t>
          </a:r>
        </a:p>
        <a:p>
          <a:endParaRPr lang="nb-NO">
            <a:effectLst/>
          </a:endParaRPr>
        </a:p>
        <a:p>
          <a:r>
            <a:rPr lang="nb-NO" sz="1100" b="1"/>
            <a:t>Gjentak: </a:t>
          </a:r>
          <a:r>
            <a:rPr lang="nb-NO" sz="1100" b="0"/>
            <a:t>Andelen gjentak totalt</a:t>
          </a:r>
          <a:r>
            <a:rPr lang="nb-NO" sz="1100" b="0" baseline="0"/>
            <a:t> på MiR </a:t>
          </a:r>
          <a:r>
            <a:rPr lang="nb-NO" sz="1100" b="0"/>
            <a:t>er lavere enn på flere år, emnesperren</a:t>
          </a:r>
          <a:r>
            <a:rPr lang="nb-NO" sz="1100" b="0" baseline="0"/>
            <a:t> fikk virkning fom H19, som forklarer de høye tallene V19</a:t>
          </a:r>
          <a:r>
            <a:rPr lang="nb-NO" sz="1100" b="0"/>
            <a:t>.</a:t>
          </a:r>
          <a:r>
            <a:rPr lang="nb-NO" sz="1100" b="0" baseline="0"/>
            <a:t> Våren 2023 var det høye tall for gjentak på JUS2211, Exfac og JUS4211. For alle emner er den totale andelen igjen lavere enn våren 2022. </a:t>
          </a:r>
          <a:endParaRPr lang="nb-NO" sz="1100" b="0"/>
        </a:p>
      </xdr:txBody>
    </xdr:sp>
    <xdr:clientData/>
  </xdr:twoCellAnchor>
  <xdr:twoCellAnchor>
    <xdr:from>
      <xdr:col>22</xdr:col>
      <xdr:colOff>72571</xdr:colOff>
      <xdr:row>23</xdr:row>
      <xdr:rowOff>142875</xdr:rowOff>
    </xdr:from>
    <xdr:to>
      <xdr:col>33</xdr:col>
      <xdr:colOff>19050</xdr:colOff>
      <xdr:row>32</xdr:row>
      <xdr:rowOff>28574</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1245396" y="3933825"/>
          <a:ext cx="6337754" cy="1343024"/>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t>Valgemner</a:t>
          </a:r>
          <a:r>
            <a:rPr lang="nb-NO" sz="1100" b="1" baseline="0"/>
            <a:t> ba: </a:t>
          </a:r>
          <a:r>
            <a:rPr lang="nb-NO" sz="1100">
              <a:solidFill>
                <a:schemeClr val="dk1"/>
              </a:solidFill>
              <a:effectLst/>
              <a:latin typeface="+mn-lt"/>
              <a:ea typeface="+mn-ea"/>
              <a:cs typeface="+mn-cs"/>
            </a:rPr>
            <a:t>På valgemner på ba-nivå var det færre</a:t>
          </a:r>
          <a:r>
            <a:rPr lang="nb-NO" sz="1100" baseline="0">
              <a:solidFill>
                <a:schemeClr val="dk1"/>
              </a:solidFill>
              <a:effectLst/>
              <a:latin typeface="+mn-lt"/>
              <a:ea typeface="+mn-ea"/>
              <a:cs typeface="+mn-cs"/>
            </a:rPr>
            <a:t> som møtte til eksamen våren 2023 </a:t>
          </a:r>
          <a:r>
            <a:rPr lang="nb-NO" sz="1100">
              <a:solidFill>
                <a:schemeClr val="dk1"/>
              </a:solidFill>
              <a:effectLst/>
              <a:latin typeface="+mn-lt"/>
              <a:ea typeface="+mn-ea"/>
              <a:cs typeface="+mn-cs"/>
            </a:rPr>
            <a:t>enn våren 2022, 2021 og 2020, men ganske like tall som våren 2019.</a:t>
          </a:r>
          <a:r>
            <a:rPr lang="nb-NO" sz="1100" baseline="0">
              <a:solidFill>
                <a:schemeClr val="dk1"/>
              </a:solidFill>
              <a:effectLst/>
              <a:latin typeface="+mn-lt"/>
              <a:ea typeface="+mn-ea"/>
              <a:cs typeface="+mn-cs"/>
            </a:rPr>
            <a:t> </a:t>
          </a:r>
        </a:p>
        <a:p>
          <a:endParaRPr lang="nb-NO" sz="1100" baseline="0">
            <a:solidFill>
              <a:schemeClr val="dk1"/>
            </a:solidFill>
            <a:effectLst/>
            <a:latin typeface="+mn-lt"/>
            <a:ea typeface="+mn-ea"/>
            <a:cs typeface="+mn-cs"/>
          </a:endParaRPr>
        </a:p>
        <a:p>
          <a:r>
            <a:rPr lang="nb-NO" sz="1100" b="1" baseline="0">
              <a:solidFill>
                <a:schemeClr val="dk1"/>
              </a:solidFill>
              <a:effectLst/>
              <a:latin typeface="+mn-lt"/>
              <a:ea typeface="+mn-ea"/>
              <a:cs typeface="+mn-cs"/>
            </a:rPr>
            <a:t>Engelske og norske emner</a:t>
          </a:r>
        </a:p>
        <a:p>
          <a:r>
            <a:rPr lang="nb-NO" sz="1100" baseline="0">
              <a:solidFill>
                <a:schemeClr val="dk1"/>
              </a:solidFill>
              <a:effectLst/>
              <a:latin typeface="+mn-lt"/>
              <a:ea typeface="+mn-ea"/>
              <a:cs typeface="+mn-cs"/>
            </a:rPr>
            <a:t>Det fortsatt langt flere kandidater på norske enn engelske valgemner på ba-nivå. Andel kandidater som møter til eksamen er bedre for de engelske emnene enn for de norske.  </a:t>
          </a:r>
          <a:endParaRPr lang="nb-NO" sz="1100">
            <a:solidFill>
              <a:schemeClr val="dk1"/>
            </a:solidFill>
            <a:effectLst/>
            <a:latin typeface="+mn-lt"/>
            <a:ea typeface="+mn-ea"/>
            <a:cs typeface="+mn-cs"/>
          </a:endParaRPr>
        </a:p>
        <a:p>
          <a:endParaRPr lang="nb-NO" sz="1100" b="0" baseline="0"/>
        </a:p>
      </xdr:txBody>
    </xdr:sp>
    <xdr:clientData/>
  </xdr:twoCellAnchor>
  <xdr:twoCellAnchor>
    <xdr:from>
      <xdr:col>22</xdr:col>
      <xdr:colOff>87540</xdr:colOff>
      <xdr:row>55</xdr:row>
      <xdr:rowOff>152400</xdr:rowOff>
    </xdr:from>
    <xdr:to>
      <xdr:col>33</xdr:col>
      <xdr:colOff>25401</xdr:colOff>
      <xdr:row>62</xdr:row>
      <xdr:rowOff>19050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3917840" y="9191625"/>
          <a:ext cx="6643461" cy="100012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solidFill>
                <a:schemeClr val="dk1"/>
              </a:solidFill>
              <a:effectLst/>
              <a:latin typeface="+mn-lt"/>
              <a:ea typeface="+mn-ea"/>
              <a:cs typeface="+mn-cs"/>
            </a:rPr>
            <a:t>Valgemner ma: </a:t>
          </a:r>
          <a:r>
            <a:rPr lang="nb-NO" sz="1100">
              <a:solidFill>
                <a:schemeClr val="dk1"/>
              </a:solidFill>
              <a:effectLst/>
              <a:latin typeface="+mn-lt"/>
              <a:ea typeface="+mn-ea"/>
              <a:cs typeface="+mn-cs"/>
            </a:rPr>
            <a:t>På valgemner på MA-nivå  var det</a:t>
          </a:r>
          <a:r>
            <a:rPr lang="nb-NO" sz="1100" baseline="0">
              <a:solidFill>
                <a:schemeClr val="dk1"/>
              </a:solidFill>
              <a:effectLst/>
              <a:latin typeface="+mn-lt"/>
              <a:ea typeface="+mn-ea"/>
              <a:cs typeface="+mn-cs"/>
            </a:rPr>
            <a:t> noe færre møtte våren 2023 enn våren 2022, lang færre enn møtte kandidater i 2021 og 2020, og relativt like tall som våren 2019. Det høye antallet kandidater de foregående semestrene kan tilskrives pandiemien, hvor færre studenter gjennomførte utenlandsopphold, og langt flere kandidater meldte seg til emner ved UiO. </a:t>
          </a:r>
        </a:p>
      </xdr:txBody>
    </xdr:sp>
    <xdr:clientData/>
  </xdr:twoCellAnchor>
  <xdr:twoCellAnchor>
    <xdr:from>
      <xdr:col>22</xdr:col>
      <xdr:colOff>76200</xdr:colOff>
      <xdr:row>2</xdr:row>
      <xdr:rowOff>19050</xdr:rowOff>
    </xdr:from>
    <xdr:to>
      <xdr:col>32</xdr:col>
      <xdr:colOff>578556</xdr:colOff>
      <xdr:row>6</xdr:row>
      <xdr:rowOff>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9486900" y="352425"/>
          <a:ext cx="6312606" cy="6477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solidFill>
                <a:schemeClr val="dk1"/>
              </a:solidFill>
              <a:effectLst/>
              <a:latin typeface="+mn-lt"/>
              <a:ea typeface="+mn-ea"/>
              <a:cs typeface="+mn-cs"/>
            </a:rPr>
            <a:t>Våren 2023 var det færre kandidater som møtte til eksamen på studieårsemner</a:t>
          </a:r>
          <a:r>
            <a:rPr lang="nb-NO" sz="1100" b="1" baseline="0">
              <a:solidFill>
                <a:schemeClr val="dk1"/>
              </a:solidFill>
              <a:effectLst/>
              <a:latin typeface="+mn-lt"/>
              <a:ea typeface="+mn-ea"/>
              <a:cs typeface="+mn-cs"/>
            </a:rPr>
            <a:t> og valgemner </a:t>
          </a:r>
          <a:r>
            <a:rPr lang="nb-NO" sz="1100" b="1">
              <a:solidFill>
                <a:schemeClr val="dk1"/>
              </a:solidFill>
              <a:effectLst/>
              <a:latin typeface="+mn-lt"/>
              <a:ea typeface="+mn-ea"/>
              <a:cs typeface="+mn-cs"/>
            </a:rPr>
            <a:t>enn våren 2022, 2021</a:t>
          </a:r>
          <a:r>
            <a:rPr lang="nb-NO" sz="1100" b="1" baseline="0">
              <a:solidFill>
                <a:schemeClr val="dk1"/>
              </a:solidFill>
              <a:effectLst/>
              <a:latin typeface="+mn-lt"/>
              <a:ea typeface="+mn-ea"/>
              <a:cs typeface="+mn-cs"/>
            </a:rPr>
            <a:t> og 2020</a:t>
          </a:r>
          <a:r>
            <a:rPr lang="nb-NO" sz="1100" b="1">
              <a:solidFill>
                <a:schemeClr val="dk1"/>
              </a:solidFill>
              <a:effectLst/>
              <a:latin typeface="+mn-lt"/>
              <a:ea typeface="+mn-ea"/>
              <a:cs typeface="+mn-cs"/>
            </a:rPr>
            <a:t>. Antall kandiater</a:t>
          </a:r>
          <a:r>
            <a:rPr lang="nb-NO" sz="1100" b="1" baseline="0">
              <a:solidFill>
                <a:schemeClr val="dk1"/>
              </a:solidFill>
              <a:effectLst/>
              <a:latin typeface="+mn-lt"/>
              <a:ea typeface="+mn-ea"/>
              <a:cs typeface="+mn-cs"/>
            </a:rPr>
            <a:t> i 2023 er relativt likt som i 2019, dersom en justerer for gjentakskandidatene på studieårene. </a:t>
          </a:r>
          <a:r>
            <a:rPr lang="nb-NO" sz="1100" b="1">
              <a:solidFill>
                <a:schemeClr val="dk1"/>
              </a:solidFill>
              <a:effectLst/>
              <a:latin typeface="+mn-lt"/>
              <a:ea typeface="+mn-ea"/>
              <a:cs typeface="+mn-cs"/>
            </a:rPr>
            <a:t>  </a:t>
          </a:r>
        </a:p>
        <a:p>
          <a:endParaRPr lang="nb-NO" sz="1100"/>
        </a:p>
        <a:p>
          <a:endParaRPr lang="nb-NO"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01"/>
  <sheetViews>
    <sheetView tabSelected="1" zoomScaleNormal="100" workbookViewId="0">
      <selection activeCell="H22" sqref="H22"/>
    </sheetView>
  </sheetViews>
  <sheetFormatPr defaultColWidth="8.7109375" defaultRowHeight="12.95"/>
  <cols>
    <col min="1" max="1" width="10.5703125" style="95" customWidth="1"/>
    <col min="2" max="2" width="21.85546875" style="95" customWidth="1"/>
    <col min="3" max="3" width="9.42578125" style="95" customWidth="1"/>
    <col min="4" max="4" width="8.5703125" style="95" customWidth="1"/>
    <col min="5" max="5" width="6.42578125" style="95" customWidth="1"/>
    <col min="6" max="6" width="8.85546875" style="95" customWidth="1"/>
    <col min="7" max="10" width="9" style="95" customWidth="1"/>
    <col min="11" max="14" width="8.7109375" style="95" customWidth="1"/>
    <col min="15" max="15" width="9.5703125" style="95" customWidth="1"/>
    <col min="16" max="16" width="6.5703125" style="95" customWidth="1"/>
    <col min="17" max="17" width="7.5703125" style="95" customWidth="1"/>
    <col min="18" max="18" width="8.140625" style="95" customWidth="1"/>
    <col min="19" max="19" width="9.140625" style="95" customWidth="1"/>
    <col min="20" max="21" width="6.42578125" style="95" customWidth="1"/>
    <col min="22" max="22" width="7.5703125" style="95" customWidth="1"/>
    <col min="23" max="16384" width="8.7109375" style="95"/>
  </cols>
  <sheetData>
    <row r="1" spans="1:22">
      <c r="A1" s="135" t="s">
        <v>0</v>
      </c>
    </row>
    <row r="2" spans="1:22" ht="13.5" thickBot="1"/>
    <row r="3" spans="1:22" ht="13.5" thickBot="1">
      <c r="A3" s="109" t="s">
        <v>1</v>
      </c>
      <c r="B3" s="109" t="s">
        <v>2</v>
      </c>
      <c r="C3" s="140"/>
      <c r="D3" s="141" t="s">
        <v>3</v>
      </c>
      <c r="E3" s="141"/>
      <c r="F3" s="280"/>
      <c r="G3" s="167"/>
      <c r="H3" s="138" t="s">
        <v>4</v>
      </c>
      <c r="I3" s="138"/>
      <c r="J3" s="216"/>
      <c r="K3" s="137"/>
      <c r="L3" s="138" t="s">
        <v>5</v>
      </c>
      <c r="M3" s="139"/>
      <c r="N3" s="139"/>
      <c r="O3" s="140"/>
      <c r="P3" s="141" t="s">
        <v>6</v>
      </c>
      <c r="Q3" s="142"/>
      <c r="R3" s="142"/>
      <c r="S3" s="167"/>
      <c r="T3" s="138" t="s">
        <v>7</v>
      </c>
      <c r="U3" s="139"/>
      <c r="V3" s="139"/>
    </row>
    <row r="4" spans="1:22" ht="13.5" thickBot="1">
      <c r="A4" s="143" t="s">
        <v>8</v>
      </c>
      <c r="B4" s="144"/>
      <c r="C4" s="281" t="s">
        <v>9</v>
      </c>
      <c r="D4" s="125" t="s">
        <v>10</v>
      </c>
      <c r="E4" s="125" t="s">
        <v>11</v>
      </c>
      <c r="F4" s="282" t="s">
        <v>12</v>
      </c>
      <c r="G4" s="221" t="s">
        <v>9</v>
      </c>
      <c r="H4" s="177" t="s">
        <v>10</v>
      </c>
      <c r="I4" s="177" t="s">
        <v>11</v>
      </c>
      <c r="J4" s="254" t="s">
        <v>12</v>
      </c>
      <c r="K4" s="145" t="s">
        <v>13</v>
      </c>
      <c r="L4" s="146" t="s">
        <v>10</v>
      </c>
      <c r="M4" s="147" t="s">
        <v>11</v>
      </c>
      <c r="N4" s="148" t="s">
        <v>14</v>
      </c>
      <c r="O4" s="141" t="s">
        <v>13</v>
      </c>
      <c r="P4" s="149" t="s">
        <v>10</v>
      </c>
      <c r="Q4" s="150" t="s">
        <v>11</v>
      </c>
      <c r="R4" s="150" t="s">
        <v>12</v>
      </c>
      <c r="S4" s="138" t="s">
        <v>13</v>
      </c>
      <c r="T4" s="253" t="s">
        <v>10</v>
      </c>
      <c r="U4" s="332" t="s">
        <v>11</v>
      </c>
      <c r="V4" s="332" t="s">
        <v>12</v>
      </c>
    </row>
    <row r="5" spans="1:22">
      <c r="A5" s="94" t="s">
        <v>15</v>
      </c>
      <c r="B5" s="95" t="s">
        <v>16</v>
      </c>
      <c r="C5" s="283">
        <v>217</v>
      </c>
      <c r="D5" s="158">
        <v>210</v>
      </c>
      <c r="E5" s="284">
        <f>D5/C5</f>
        <v>0.967741935483871</v>
      </c>
      <c r="F5" s="160">
        <v>0</v>
      </c>
      <c r="G5" s="151">
        <v>205</v>
      </c>
      <c r="H5" s="152">
        <v>203</v>
      </c>
      <c r="I5" s="191">
        <v>0.99</v>
      </c>
      <c r="J5" s="153"/>
      <c r="K5" s="154">
        <v>210</v>
      </c>
      <c r="L5" s="155">
        <v>206</v>
      </c>
      <c r="M5" s="156">
        <f>206/210</f>
        <v>0.98095238095238091</v>
      </c>
      <c r="N5" s="157">
        <v>1.4</v>
      </c>
      <c r="O5" s="158">
        <v>204</v>
      </c>
      <c r="P5" s="158">
        <v>200</v>
      </c>
      <c r="Q5" s="159">
        <f>200/204</f>
        <v>0.98039215686274506</v>
      </c>
      <c r="R5" s="158">
        <v>8.3000000000000007</v>
      </c>
      <c r="S5" s="336">
        <v>372</v>
      </c>
      <c r="T5" s="301">
        <v>323</v>
      </c>
      <c r="U5" s="337">
        <f>T5/S5</f>
        <v>0.86827956989247312</v>
      </c>
      <c r="V5" s="369">
        <v>0.33600000000000002</v>
      </c>
    </row>
    <row r="6" spans="1:22">
      <c r="A6" s="94" t="s">
        <v>17</v>
      </c>
      <c r="B6" s="95" t="s">
        <v>18</v>
      </c>
      <c r="C6" s="283">
        <v>214</v>
      </c>
      <c r="D6" s="158">
        <v>191</v>
      </c>
      <c r="E6" s="284">
        <f t="shared" ref="E6:E18" si="0">D6/C6</f>
        <v>0.89252336448598135</v>
      </c>
      <c r="F6" s="285">
        <v>4.2000000000000003E-2</v>
      </c>
      <c r="G6" s="151">
        <v>241</v>
      </c>
      <c r="H6" s="152">
        <v>221</v>
      </c>
      <c r="I6" s="191">
        <v>0.91</v>
      </c>
      <c r="J6" s="196">
        <v>9.5000000000000001E-2</v>
      </c>
      <c r="K6" s="154">
        <v>215</v>
      </c>
      <c r="L6" s="155">
        <v>206</v>
      </c>
      <c r="M6" s="156">
        <f>206/215</f>
        <v>0.95813953488372094</v>
      </c>
      <c r="N6" s="157">
        <v>5.6</v>
      </c>
      <c r="O6" s="158">
        <v>278</v>
      </c>
      <c r="P6" s="158">
        <v>256</v>
      </c>
      <c r="Q6" s="159">
        <f>256/278</f>
        <v>0.92086330935251803</v>
      </c>
      <c r="R6" s="158">
        <v>7.6</v>
      </c>
      <c r="S6" s="151">
        <v>350</v>
      </c>
      <c r="T6" s="152">
        <v>318</v>
      </c>
      <c r="U6" s="191">
        <f t="shared" ref="U6:U18" si="1">T6/S6</f>
        <v>0.90857142857142859</v>
      </c>
      <c r="V6" s="370">
        <v>0.29399999999999998</v>
      </c>
    </row>
    <row r="7" spans="1:22">
      <c r="A7" s="94" t="s">
        <v>19</v>
      </c>
      <c r="B7" s="92" t="s">
        <v>20</v>
      </c>
      <c r="C7" s="286">
        <v>219</v>
      </c>
      <c r="D7" s="100">
        <v>208</v>
      </c>
      <c r="E7" s="284">
        <f t="shared" si="0"/>
        <v>0.94977168949771684</v>
      </c>
      <c r="F7" s="287">
        <v>0.105</v>
      </c>
      <c r="G7" s="96">
        <v>220</v>
      </c>
      <c r="H7" s="97">
        <v>208</v>
      </c>
      <c r="I7" s="113">
        <v>0.94</v>
      </c>
      <c r="J7" s="197">
        <v>0.11799999999999999</v>
      </c>
      <c r="K7" s="98">
        <v>209</v>
      </c>
      <c r="L7" s="99">
        <v>193</v>
      </c>
      <c r="M7" s="156">
        <f>193/209</f>
        <v>0.92344497607655507</v>
      </c>
      <c r="N7" s="157">
        <v>7</v>
      </c>
      <c r="O7" s="100">
        <v>256</v>
      </c>
      <c r="P7" s="100">
        <v>248</v>
      </c>
      <c r="Q7" s="159">
        <f>248/256</f>
        <v>0.96875</v>
      </c>
      <c r="R7" s="334">
        <v>15.6</v>
      </c>
      <c r="S7" s="151">
        <v>349</v>
      </c>
      <c r="T7" s="152">
        <v>326</v>
      </c>
      <c r="U7" s="191">
        <f t="shared" si="1"/>
        <v>0.93409742120343842</v>
      </c>
      <c r="V7" s="370">
        <v>0.39300000000000002</v>
      </c>
    </row>
    <row r="8" spans="1:22">
      <c r="A8" s="94" t="s">
        <v>21</v>
      </c>
      <c r="B8" s="92" t="s">
        <v>22</v>
      </c>
      <c r="C8" s="286">
        <v>243</v>
      </c>
      <c r="D8" s="100">
        <v>235</v>
      </c>
      <c r="E8" s="284">
        <f t="shared" si="0"/>
        <v>0.96707818930041156</v>
      </c>
      <c r="F8" s="255">
        <v>0.218</v>
      </c>
      <c r="G8" s="96">
        <v>205</v>
      </c>
      <c r="H8" s="97">
        <v>194</v>
      </c>
      <c r="I8" s="113">
        <v>0.94</v>
      </c>
      <c r="J8" s="197">
        <v>0.112</v>
      </c>
      <c r="K8" s="98">
        <v>217</v>
      </c>
      <c r="L8" s="99">
        <v>215</v>
      </c>
      <c r="M8" s="101">
        <f>215/217</f>
        <v>0.99078341013824889</v>
      </c>
      <c r="N8" s="102">
        <v>12</v>
      </c>
      <c r="O8" s="100">
        <v>229</v>
      </c>
      <c r="P8" s="100">
        <v>215</v>
      </c>
      <c r="Q8" s="103">
        <f>215/229</f>
        <v>0.93886462882096067</v>
      </c>
      <c r="R8" s="334">
        <v>15.7</v>
      </c>
      <c r="S8" s="151">
        <v>318</v>
      </c>
      <c r="T8" s="152">
        <v>281</v>
      </c>
      <c r="U8" s="191">
        <f t="shared" si="1"/>
        <v>0.88364779874213839</v>
      </c>
      <c r="V8" s="370">
        <v>0.32100000000000001</v>
      </c>
    </row>
    <row r="9" spans="1:22">
      <c r="A9" s="93" t="s">
        <v>23</v>
      </c>
      <c r="B9" s="92" t="s">
        <v>24</v>
      </c>
      <c r="C9" s="286">
        <v>203</v>
      </c>
      <c r="D9" s="100">
        <v>187</v>
      </c>
      <c r="E9" s="284">
        <f t="shared" si="0"/>
        <v>0.9211822660098522</v>
      </c>
      <c r="F9" s="255">
        <v>0.161</v>
      </c>
      <c r="G9" s="96">
        <v>161</v>
      </c>
      <c r="H9" s="97">
        <v>159</v>
      </c>
      <c r="I9" s="113">
        <v>0.98</v>
      </c>
      <c r="J9" s="197">
        <v>9.7000000000000003E-2</v>
      </c>
      <c r="K9" s="154">
        <v>197</v>
      </c>
      <c r="L9" s="155">
        <v>173</v>
      </c>
      <c r="M9" s="101">
        <f>190/197</f>
        <v>0.96446700507614214</v>
      </c>
      <c r="N9" s="104">
        <v>6</v>
      </c>
      <c r="O9" s="100">
        <v>246</v>
      </c>
      <c r="P9" s="100">
        <v>220</v>
      </c>
      <c r="Q9" s="103">
        <f>220/246</f>
        <v>0.89430894308943087</v>
      </c>
      <c r="R9" s="335">
        <v>8.5</v>
      </c>
      <c r="S9" s="338">
        <v>283</v>
      </c>
      <c r="T9" s="333">
        <v>167</v>
      </c>
      <c r="U9" s="191">
        <f t="shared" si="1"/>
        <v>0.59010600706713778</v>
      </c>
      <c r="V9" s="371">
        <v>0.26600000000000001</v>
      </c>
    </row>
    <row r="10" spans="1:22">
      <c r="A10" s="94" t="s">
        <v>25</v>
      </c>
      <c r="B10" s="92" t="s">
        <v>26</v>
      </c>
      <c r="C10" s="286">
        <v>222</v>
      </c>
      <c r="D10" s="100">
        <v>204</v>
      </c>
      <c r="E10" s="284">
        <f t="shared" si="0"/>
        <v>0.91891891891891897</v>
      </c>
      <c r="F10" s="287">
        <v>0.113</v>
      </c>
      <c r="G10" s="96">
        <v>198</v>
      </c>
      <c r="H10" s="97">
        <v>186</v>
      </c>
      <c r="I10" s="113">
        <v>0.94</v>
      </c>
      <c r="J10" s="197">
        <v>5.0999999999999997E-2</v>
      </c>
      <c r="K10" s="98">
        <v>200</v>
      </c>
      <c r="L10" s="99">
        <v>112</v>
      </c>
      <c r="M10" s="105">
        <v>0.56000000000000005</v>
      </c>
      <c r="N10" s="106"/>
      <c r="O10" s="100"/>
      <c r="P10" s="100"/>
      <c r="Q10" s="103"/>
      <c r="R10" s="158"/>
      <c r="S10" s="151">
        <v>273</v>
      </c>
      <c r="T10" s="152">
        <v>241</v>
      </c>
      <c r="U10" s="191">
        <f t="shared" si="1"/>
        <v>0.88278388278388276</v>
      </c>
      <c r="V10" s="370">
        <v>0.31900000000000001</v>
      </c>
    </row>
    <row r="11" spans="1:22">
      <c r="A11" s="94" t="s">
        <v>27</v>
      </c>
      <c r="B11" s="92" t="s">
        <v>28</v>
      </c>
      <c r="C11" s="286"/>
      <c r="D11" s="100"/>
      <c r="E11" s="284"/>
      <c r="F11" s="288"/>
      <c r="G11" s="96">
        <v>35</v>
      </c>
      <c r="H11" s="97">
        <v>25</v>
      </c>
      <c r="I11" s="113">
        <v>0.71</v>
      </c>
      <c r="J11" s="114">
        <v>0.6</v>
      </c>
      <c r="K11" s="98">
        <v>250</v>
      </c>
      <c r="L11" s="99">
        <v>237</v>
      </c>
      <c r="M11" s="101">
        <f>237/250</f>
        <v>0.94799999999999995</v>
      </c>
      <c r="N11" s="256">
        <v>14.4</v>
      </c>
      <c r="O11" s="100">
        <v>302</v>
      </c>
      <c r="P11" s="100">
        <v>288</v>
      </c>
      <c r="Q11" s="103">
        <f>288/302</f>
        <v>0.95364238410596025</v>
      </c>
      <c r="R11" s="158">
        <v>17.899999999999999</v>
      </c>
      <c r="S11" s="151">
        <v>235</v>
      </c>
      <c r="T11" s="152">
        <v>208</v>
      </c>
      <c r="U11" s="191">
        <f t="shared" si="1"/>
        <v>0.88510638297872335</v>
      </c>
      <c r="V11" s="370">
        <v>0.20399999999999999</v>
      </c>
    </row>
    <row r="12" spans="1:22">
      <c r="A12" s="94" t="s">
        <v>29</v>
      </c>
      <c r="B12" s="92" t="s">
        <v>28</v>
      </c>
      <c r="C12" s="286">
        <v>192</v>
      </c>
      <c r="D12" s="100">
        <v>174</v>
      </c>
      <c r="E12" s="284">
        <f t="shared" si="0"/>
        <v>0.90625</v>
      </c>
      <c r="F12" s="289">
        <v>8.8999999999999996E-2</v>
      </c>
      <c r="G12" s="96">
        <v>198</v>
      </c>
      <c r="H12" s="97">
        <v>182</v>
      </c>
      <c r="I12" s="113">
        <v>0.92</v>
      </c>
      <c r="J12" s="255">
        <v>0.151</v>
      </c>
      <c r="K12" s="98"/>
      <c r="L12" s="99"/>
      <c r="M12" s="101"/>
      <c r="N12" s="102"/>
      <c r="O12" s="100"/>
      <c r="P12" s="100"/>
      <c r="Q12" s="103"/>
      <c r="R12" s="158"/>
      <c r="S12" s="151"/>
      <c r="T12" s="152"/>
      <c r="U12" s="191"/>
      <c r="V12" s="367"/>
    </row>
    <row r="13" spans="1:22">
      <c r="A13" s="94" t="s">
        <v>30</v>
      </c>
      <c r="B13" s="92" t="s">
        <v>31</v>
      </c>
      <c r="C13" s="286">
        <v>189</v>
      </c>
      <c r="D13" s="100">
        <v>179</v>
      </c>
      <c r="E13" s="284">
        <f t="shared" si="0"/>
        <v>0.94708994708994709</v>
      </c>
      <c r="F13" s="287">
        <v>6.9000000000000006E-2</v>
      </c>
      <c r="G13" s="96">
        <v>199</v>
      </c>
      <c r="H13" s="97">
        <v>185</v>
      </c>
      <c r="I13" s="113">
        <v>0.93</v>
      </c>
      <c r="J13" s="197">
        <v>3.5000000000000003E-2</v>
      </c>
      <c r="K13" s="98">
        <v>433</v>
      </c>
      <c r="L13" s="99">
        <v>420</v>
      </c>
      <c r="M13" s="101">
        <f>402/433</f>
        <v>0.92840646651270209</v>
      </c>
      <c r="N13" s="102">
        <v>6.9</v>
      </c>
      <c r="O13" s="100">
        <v>194</v>
      </c>
      <c r="P13" s="100">
        <v>187</v>
      </c>
      <c r="Q13" s="103">
        <f>187/194</f>
        <v>0.96391752577319589</v>
      </c>
      <c r="R13" s="158">
        <v>4.5999999999999996</v>
      </c>
      <c r="S13" s="151">
        <v>182</v>
      </c>
      <c r="T13" s="152">
        <v>166</v>
      </c>
      <c r="U13" s="191">
        <f t="shared" si="1"/>
        <v>0.91208791208791207</v>
      </c>
      <c r="V13" s="367">
        <v>0.06</v>
      </c>
    </row>
    <row r="14" spans="1:22">
      <c r="A14" s="94" t="s">
        <v>32</v>
      </c>
      <c r="B14" s="92" t="s">
        <v>33</v>
      </c>
      <c r="C14" s="286">
        <v>189</v>
      </c>
      <c r="D14" s="100">
        <v>169</v>
      </c>
      <c r="E14" s="284">
        <f t="shared" si="0"/>
        <v>0.89417989417989419</v>
      </c>
      <c r="F14" s="288">
        <v>0.191</v>
      </c>
      <c r="G14" s="96">
        <v>249</v>
      </c>
      <c r="H14" s="97">
        <v>223</v>
      </c>
      <c r="I14" s="113">
        <v>0.89</v>
      </c>
      <c r="J14" s="257">
        <v>0.21</v>
      </c>
      <c r="K14" s="98">
        <v>256</v>
      </c>
      <c r="L14" s="99">
        <v>228</v>
      </c>
      <c r="M14" s="101">
        <f>228/256</f>
        <v>0.890625</v>
      </c>
      <c r="N14" s="102">
        <v>11.3</v>
      </c>
      <c r="O14" s="100">
        <v>308</v>
      </c>
      <c r="P14" s="100">
        <v>299</v>
      </c>
      <c r="Q14" s="103">
        <f>299/308</f>
        <v>0.97077922077922074</v>
      </c>
      <c r="R14" s="334">
        <v>14.4</v>
      </c>
      <c r="S14" s="151">
        <v>210</v>
      </c>
      <c r="T14" s="152">
        <v>182</v>
      </c>
      <c r="U14" s="191">
        <f t="shared" si="1"/>
        <v>0.8666666666666667</v>
      </c>
      <c r="V14" s="367">
        <v>0.12</v>
      </c>
    </row>
    <row r="15" spans="1:22">
      <c r="A15" s="94" t="s">
        <v>34</v>
      </c>
      <c r="B15" s="92" t="s">
        <v>35</v>
      </c>
      <c r="C15" s="286">
        <v>276</v>
      </c>
      <c r="D15" s="100">
        <v>255</v>
      </c>
      <c r="E15" s="284">
        <f t="shared" si="0"/>
        <v>0.92391304347826086</v>
      </c>
      <c r="F15" s="255">
        <v>0.18099999999999999</v>
      </c>
      <c r="G15" s="96">
        <v>285</v>
      </c>
      <c r="H15" s="97">
        <v>266</v>
      </c>
      <c r="I15" s="113">
        <v>0.93</v>
      </c>
      <c r="J15" s="255">
        <v>0.24199999999999999</v>
      </c>
      <c r="K15" s="98">
        <v>293</v>
      </c>
      <c r="L15" s="99">
        <v>228</v>
      </c>
      <c r="M15" s="101">
        <f>228/293</f>
        <v>0.77815699658703075</v>
      </c>
      <c r="N15" s="256">
        <v>17.3</v>
      </c>
      <c r="O15" s="100">
        <v>292</v>
      </c>
      <c r="P15" s="100">
        <v>279</v>
      </c>
      <c r="Q15" s="103">
        <f>279/292</f>
        <v>0.95547945205479456</v>
      </c>
      <c r="R15" s="334">
        <v>13.4</v>
      </c>
      <c r="S15" s="151">
        <v>270</v>
      </c>
      <c r="T15" s="152">
        <v>247</v>
      </c>
      <c r="U15" s="191">
        <f t="shared" si="1"/>
        <v>0.91481481481481486</v>
      </c>
      <c r="V15" s="370">
        <v>0.182</v>
      </c>
    </row>
    <row r="16" spans="1:22">
      <c r="A16" s="94" t="s">
        <v>36</v>
      </c>
      <c r="B16" s="92" t="s">
        <v>37</v>
      </c>
      <c r="C16" s="286">
        <v>84</v>
      </c>
      <c r="D16" s="100">
        <v>77</v>
      </c>
      <c r="E16" s="284">
        <f t="shared" si="0"/>
        <v>0.91666666666666663</v>
      </c>
      <c r="F16" s="287">
        <v>1.2E-2</v>
      </c>
      <c r="G16" s="96">
        <v>249</v>
      </c>
      <c r="H16" s="97">
        <v>223</v>
      </c>
      <c r="I16" s="113">
        <v>0.89</v>
      </c>
      <c r="J16" s="197">
        <v>3.3000000000000002E-2</v>
      </c>
      <c r="K16" s="98">
        <v>113</v>
      </c>
      <c r="L16" s="99">
        <v>99</v>
      </c>
      <c r="M16" s="156">
        <f>99/113</f>
        <v>0.87610619469026552</v>
      </c>
      <c r="N16" s="157">
        <v>11.5</v>
      </c>
      <c r="O16" s="158">
        <v>135</v>
      </c>
      <c r="P16" s="158">
        <v>129</v>
      </c>
      <c r="Q16" s="159">
        <f>129/135</f>
        <v>0.9555555555555556</v>
      </c>
      <c r="R16" s="158">
        <v>6.8</v>
      </c>
      <c r="S16" s="151">
        <v>73</v>
      </c>
      <c r="T16" s="152">
        <v>62</v>
      </c>
      <c r="U16" s="191">
        <f t="shared" si="1"/>
        <v>0.84931506849315064</v>
      </c>
      <c r="V16" s="367">
        <v>6.8000000000000005E-2</v>
      </c>
    </row>
    <row r="17" spans="1:33">
      <c r="A17" s="94" t="s">
        <v>38</v>
      </c>
      <c r="B17" s="92" t="s">
        <v>39</v>
      </c>
      <c r="C17" s="286">
        <v>55</v>
      </c>
      <c r="D17" s="100">
        <v>52</v>
      </c>
      <c r="E17" s="284">
        <f t="shared" si="0"/>
        <v>0.94545454545454544</v>
      </c>
      <c r="F17" s="287">
        <v>3.5999999999999997E-2</v>
      </c>
      <c r="G17" s="96">
        <v>60</v>
      </c>
      <c r="H17" s="97">
        <v>57</v>
      </c>
      <c r="I17" s="113">
        <v>0.95</v>
      </c>
      <c r="J17" s="197">
        <v>3.4000000000000002E-2</v>
      </c>
      <c r="K17" s="98">
        <v>74</v>
      </c>
      <c r="L17" s="99">
        <v>73</v>
      </c>
      <c r="M17" s="101">
        <f>73/74</f>
        <v>0.98648648648648651</v>
      </c>
      <c r="N17" s="102">
        <v>4.0999999999999996</v>
      </c>
      <c r="O17" s="100">
        <v>153</v>
      </c>
      <c r="P17" s="100">
        <v>141</v>
      </c>
      <c r="Q17" s="103">
        <f>141/153</f>
        <v>0.92156862745098034</v>
      </c>
      <c r="R17" s="158">
        <v>3.9</v>
      </c>
      <c r="S17" s="151">
        <v>97</v>
      </c>
      <c r="T17" s="152">
        <v>86</v>
      </c>
      <c r="U17" s="191">
        <f t="shared" si="1"/>
        <v>0.88659793814432986</v>
      </c>
      <c r="V17" s="367">
        <v>2.1000000000000001E-2</v>
      </c>
    </row>
    <row r="18" spans="1:33" ht="13.5" thickBot="1">
      <c r="A18" s="94" t="s">
        <v>40</v>
      </c>
      <c r="B18" s="92" t="s">
        <v>41</v>
      </c>
      <c r="C18" s="286">
        <v>37</v>
      </c>
      <c r="D18" s="100">
        <v>29</v>
      </c>
      <c r="E18" s="284">
        <f t="shared" si="0"/>
        <v>0.78378378378378377</v>
      </c>
      <c r="F18" s="160">
        <v>0</v>
      </c>
      <c r="G18" s="96">
        <v>49</v>
      </c>
      <c r="H18" s="97">
        <v>36</v>
      </c>
      <c r="I18" s="113">
        <v>0.74</v>
      </c>
      <c r="J18" s="197">
        <v>4.1000000000000002E-2</v>
      </c>
      <c r="K18" s="98">
        <v>75</v>
      </c>
      <c r="L18" s="99">
        <v>58</v>
      </c>
      <c r="M18" s="156">
        <f>58/75</f>
        <v>0.77333333333333332</v>
      </c>
      <c r="N18" s="157">
        <v>4</v>
      </c>
      <c r="O18" s="158">
        <v>68</v>
      </c>
      <c r="P18" s="158">
        <v>58</v>
      </c>
      <c r="Q18" s="159">
        <f>58/68</f>
        <v>0.8529411764705882</v>
      </c>
      <c r="R18" s="158">
        <v>7.5</v>
      </c>
      <c r="S18" s="339">
        <v>52</v>
      </c>
      <c r="T18" s="304">
        <v>41</v>
      </c>
      <c r="U18" s="340">
        <f t="shared" si="1"/>
        <v>0.78846153846153844</v>
      </c>
      <c r="V18" s="368"/>
    </row>
    <row r="19" spans="1:33" ht="13.5" thickBot="1">
      <c r="A19" s="161"/>
      <c r="B19" s="107" t="s">
        <v>42</v>
      </c>
      <c r="C19" s="290">
        <f>SUM(C5:C18)</f>
        <v>2340</v>
      </c>
      <c r="D19" s="124">
        <f>SUM(D5:D18)</f>
        <v>2170</v>
      </c>
      <c r="E19" s="291">
        <f>(SUM(E5:E18)/13)</f>
        <v>0.91804263418075771</v>
      </c>
      <c r="F19" s="388">
        <f>(SUM(F6:F18)/13)</f>
        <v>9.3615384615384628E-2</v>
      </c>
      <c r="G19" s="123">
        <f>SUM(G5:G18)</f>
        <v>2554</v>
      </c>
      <c r="H19" s="123">
        <f>SUM(H5:H18)</f>
        <v>2368</v>
      </c>
      <c r="I19" s="194">
        <v>0.93</v>
      </c>
      <c r="J19" s="372">
        <f>(SUM(J6:J18)/13)</f>
        <v>0.1399230769230769</v>
      </c>
      <c r="K19" s="145">
        <f>SUM(K5:K18)</f>
        <v>2742</v>
      </c>
      <c r="L19" s="189">
        <f>SUM(L5:L18)</f>
        <v>2448</v>
      </c>
      <c r="M19" s="192">
        <f>2448/2742</f>
        <v>0.89277899343544853</v>
      </c>
      <c r="N19" s="193">
        <v>8.5000000000000006E-2</v>
      </c>
      <c r="O19" s="270">
        <v>3028</v>
      </c>
      <c r="P19" s="141">
        <v>2846</v>
      </c>
      <c r="Q19" s="142">
        <f>2846/3028</f>
        <v>0.939894319682959</v>
      </c>
      <c r="R19" s="387">
        <f>(SUM(R5:R18)/12)</f>
        <v>10.35</v>
      </c>
      <c r="S19" s="342">
        <f>SUM(S5:S18)</f>
        <v>3064</v>
      </c>
      <c r="T19" s="138">
        <f>SUM(T5:T18)</f>
        <v>2648</v>
      </c>
      <c r="U19" s="198">
        <f>(SUM(U5:U18)/13)</f>
        <v>0.85927203306981825</v>
      </c>
      <c r="V19" s="386">
        <f>(SUM(V5:V18)/12)</f>
        <v>0.21533333333333335</v>
      </c>
    </row>
    <row r="20" spans="1:33">
      <c r="A20" s="95" t="s">
        <v>43</v>
      </c>
      <c r="B20" s="108"/>
      <c r="C20" s="108"/>
      <c r="D20" s="108"/>
      <c r="E20" s="108"/>
      <c r="F20" s="108"/>
      <c r="G20" s="108"/>
      <c r="H20" s="108"/>
      <c r="I20" s="258"/>
      <c r="J20" s="108"/>
      <c r="K20" s="109"/>
      <c r="L20" s="109"/>
      <c r="M20" s="127"/>
      <c r="N20" s="127"/>
      <c r="O20" s="109"/>
      <c r="P20" s="109"/>
      <c r="Q20" s="127"/>
    </row>
    <row r="21" spans="1:33">
      <c r="A21" s="95" t="s">
        <v>44</v>
      </c>
      <c r="B21" s="108"/>
      <c r="C21" s="108"/>
      <c r="D21" s="108"/>
      <c r="E21" s="108"/>
      <c r="F21" s="108"/>
      <c r="G21" s="108"/>
      <c r="H21" s="108"/>
      <c r="I21" s="108"/>
      <c r="J21" s="108"/>
      <c r="L21" s="109"/>
      <c r="M21" s="127"/>
      <c r="N21" s="127"/>
      <c r="O21" s="109"/>
      <c r="P21" s="109"/>
      <c r="Q21" s="127"/>
    </row>
    <row r="22" spans="1:33" ht="13.5" thickBot="1">
      <c r="A22" s="109" t="s">
        <v>1</v>
      </c>
      <c r="B22" s="109" t="s">
        <v>2</v>
      </c>
      <c r="C22" s="109"/>
      <c r="D22" s="109"/>
      <c r="E22" s="109"/>
      <c r="F22" s="109"/>
      <c r="G22" s="109"/>
      <c r="H22" s="109"/>
      <c r="I22" s="109"/>
      <c r="J22" s="109"/>
      <c r="M22" s="163"/>
      <c r="N22" s="163"/>
      <c r="Q22" s="163"/>
    </row>
    <row r="23" spans="1:33" ht="13.5" thickBot="1">
      <c r="A23" s="143" t="s">
        <v>45</v>
      </c>
      <c r="B23" s="299"/>
      <c r="C23" s="270" t="s">
        <v>9</v>
      </c>
      <c r="D23" s="141" t="s">
        <v>10</v>
      </c>
      <c r="E23" s="141" t="s">
        <v>11</v>
      </c>
      <c r="F23" s="168"/>
      <c r="G23" s="138" t="s">
        <v>9</v>
      </c>
      <c r="H23" s="138" t="s">
        <v>10</v>
      </c>
      <c r="I23" s="138" t="s">
        <v>11</v>
      </c>
      <c r="J23" s="137"/>
      <c r="K23" s="145" t="s">
        <v>13</v>
      </c>
      <c r="L23" s="146" t="s">
        <v>10</v>
      </c>
      <c r="M23" s="147" t="s">
        <v>11</v>
      </c>
      <c r="N23" s="148"/>
      <c r="O23" s="141" t="s">
        <v>13</v>
      </c>
      <c r="P23" s="149" t="s">
        <v>10</v>
      </c>
      <c r="Q23" s="150" t="s">
        <v>11</v>
      </c>
      <c r="R23" s="165"/>
      <c r="S23" s="342" t="s">
        <v>13</v>
      </c>
      <c r="T23" s="253" t="s">
        <v>10</v>
      </c>
      <c r="U23" s="332" t="s">
        <v>11</v>
      </c>
      <c r="V23" s="343" t="s">
        <v>12</v>
      </c>
      <c r="W23" s="109"/>
      <c r="Y23" s="109"/>
      <c r="Z23" s="110"/>
      <c r="AA23" s="111"/>
      <c r="AB23" s="109"/>
      <c r="AE23" s="109"/>
      <c r="AF23" s="110"/>
      <c r="AG23" s="111"/>
    </row>
    <row r="24" spans="1:33">
      <c r="A24" s="92" t="s">
        <v>46</v>
      </c>
      <c r="B24" s="112" t="s">
        <v>47</v>
      </c>
      <c r="C24" s="272"/>
      <c r="D24" s="273"/>
      <c r="E24" s="273"/>
      <c r="F24" s="275"/>
      <c r="G24" s="97">
        <v>11</v>
      </c>
      <c r="H24" s="97">
        <v>11</v>
      </c>
      <c r="I24" s="97">
        <v>100</v>
      </c>
      <c r="J24" s="97"/>
      <c r="K24" s="98">
        <v>14</v>
      </c>
      <c r="L24" s="99">
        <v>13</v>
      </c>
      <c r="M24" s="101">
        <f>13/14</f>
        <v>0.9285714285714286</v>
      </c>
      <c r="N24" s="211"/>
      <c r="O24" s="100">
        <v>8</v>
      </c>
      <c r="P24" s="100">
        <v>8</v>
      </c>
      <c r="Q24" s="103">
        <v>1</v>
      </c>
      <c r="R24" s="103"/>
      <c r="S24" s="344">
        <v>7</v>
      </c>
      <c r="T24" s="345">
        <v>6</v>
      </c>
      <c r="U24" s="346">
        <f>T24/S24</f>
        <v>0.8571428571428571</v>
      </c>
      <c r="V24" s="347"/>
    </row>
    <row r="25" spans="1:33">
      <c r="A25" s="92" t="s">
        <v>48</v>
      </c>
      <c r="B25" s="112" t="s">
        <v>49</v>
      </c>
      <c r="C25" s="286"/>
      <c r="D25" s="100"/>
      <c r="E25" s="100"/>
      <c r="F25" s="294"/>
      <c r="G25" s="97">
        <v>5</v>
      </c>
      <c r="H25" s="97">
        <v>5</v>
      </c>
      <c r="I25" s="97">
        <v>100</v>
      </c>
      <c r="J25" s="97"/>
      <c r="K25" s="98" t="s">
        <v>50</v>
      </c>
      <c r="L25" s="99"/>
      <c r="M25" s="101"/>
      <c r="N25" s="211"/>
      <c r="O25" s="100">
        <v>8</v>
      </c>
      <c r="P25" s="100">
        <v>7</v>
      </c>
      <c r="Q25" s="103">
        <f>7/8</f>
        <v>0.875</v>
      </c>
      <c r="R25" s="103"/>
      <c r="S25" s="348">
        <v>10</v>
      </c>
      <c r="T25" s="349">
        <v>10</v>
      </c>
      <c r="U25" s="350">
        <f t="shared" ref="U25:U46" si="2">T25/S25</f>
        <v>1</v>
      </c>
      <c r="V25" s="351"/>
    </row>
    <row r="26" spans="1:33">
      <c r="A26" s="92" t="s">
        <v>51</v>
      </c>
      <c r="B26" s="112" t="s">
        <v>52</v>
      </c>
      <c r="C26" s="286">
        <v>107</v>
      </c>
      <c r="D26" s="100">
        <v>61</v>
      </c>
      <c r="E26" s="269">
        <f>D26/C26</f>
        <v>0.57009345794392519</v>
      </c>
      <c r="F26" s="294"/>
      <c r="G26" s="97">
        <v>211</v>
      </c>
      <c r="H26" s="97">
        <v>88</v>
      </c>
      <c r="I26" s="97">
        <v>42</v>
      </c>
      <c r="J26" s="97"/>
      <c r="K26" s="98">
        <v>209</v>
      </c>
      <c r="L26" s="99">
        <v>110</v>
      </c>
      <c r="M26" s="99">
        <v>52</v>
      </c>
      <c r="N26" s="212"/>
      <c r="O26" s="100">
        <v>182</v>
      </c>
      <c r="P26" s="100">
        <v>109</v>
      </c>
      <c r="Q26" s="103">
        <f>109/182</f>
        <v>0.59890109890109888</v>
      </c>
      <c r="R26" s="103"/>
      <c r="S26" s="348">
        <v>132</v>
      </c>
      <c r="T26" s="349">
        <v>56</v>
      </c>
      <c r="U26" s="350">
        <f t="shared" si="2"/>
        <v>0.42424242424242425</v>
      </c>
      <c r="V26" s="351"/>
    </row>
    <row r="27" spans="1:33">
      <c r="A27" s="93" t="s">
        <v>53</v>
      </c>
      <c r="B27" s="112" t="s">
        <v>54</v>
      </c>
      <c r="C27" s="286">
        <v>60</v>
      </c>
      <c r="D27" s="100">
        <v>27</v>
      </c>
      <c r="E27" s="269">
        <f t="shared" ref="E27:E46" si="3">D27/C27</f>
        <v>0.45</v>
      </c>
      <c r="F27" s="294"/>
      <c r="G27" s="97">
        <v>120</v>
      </c>
      <c r="H27" s="97">
        <v>72</v>
      </c>
      <c r="I27" s="97">
        <v>60</v>
      </c>
      <c r="J27" s="97"/>
      <c r="K27" s="98">
        <v>132</v>
      </c>
      <c r="L27" s="99">
        <v>71</v>
      </c>
      <c r="M27" s="99">
        <v>54</v>
      </c>
      <c r="N27" s="212"/>
      <c r="O27" s="100">
        <v>112</v>
      </c>
      <c r="P27" s="100">
        <v>60</v>
      </c>
      <c r="Q27" s="103">
        <f>60/112</f>
        <v>0.5357142857142857</v>
      </c>
      <c r="R27" s="103"/>
      <c r="S27" s="348">
        <v>115</v>
      </c>
      <c r="T27" s="349">
        <v>57</v>
      </c>
      <c r="U27" s="350">
        <f t="shared" si="2"/>
        <v>0.4956521739130435</v>
      </c>
      <c r="V27" s="351"/>
    </row>
    <row r="28" spans="1:33">
      <c r="A28" s="93" t="s">
        <v>55</v>
      </c>
      <c r="B28" s="112" t="s">
        <v>56</v>
      </c>
      <c r="C28" s="286">
        <v>80</v>
      </c>
      <c r="D28" s="100">
        <v>56</v>
      </c>
      <c r="E28" s="269">
        <f t="shared" si="3"/>
        <v>0.7</v>
      </c>
      <c r="F28" s="294"/>
      <c r="G28" s="97">
        <v>55</v>
      </c>
      <c r="H28" s="97">
        <v>41</v>
      </c>
      <c r="I28" s="97">
        <v>74</v>
      </c>
      <c r="J28" s="97"/>
      <c r="K28" s="98">
        <v>99</v>
      </c>
      <c r="L28" s="99">
        <v>54</v>
      </c>
      <c r="M28" s="99">
        <v>54.5</v>
      </c>
      <c r="N28" s="212"/>
      <c r="O28" s="100">
        <v>72</v>
      </c>
      <c r="P28" s="100">
        <v>33</v>
      </c>
      <c r="Q28" s="103">
        <f>33/72</f>
        <v>0.45833333333333331</v>
      </c>
      <c r="R28" s="103"/>
      <c r="S28" s="348">
        <v>74</v>
      </c>
      <c r="T28" s="349">
        <v>39</v>
      </c>
      <c r="U28" s="350">
        <f t="shared" si="2"/>
        <v>0.52702702702702697</v>
      </c>
      <c r="V28" s="351"/>
    </row>
    <row r="29" spans="1:33">
      <c r="A29" s="93" t="s">
        <v>57</v>
      </c>
      <c r="B29" s="112" t="s">
        <v>58</v>
      </c>
      <c r="C29" s="286">
        <v>59</v>
      </c>
      <c r="D29" s="100">
        <v>31</v>
      </c>
      <c r="E29" s="269">
        <f t="shared" si="3"/>
        <v>0.52542372881355937</v>
      </c>
      <c r="F29" s="294"/>
      <c r="G29" s="97">
        <v>44</v>
      </c>
      <c r="H29" s="97">
        <v>28</v>
      </c>
      <c r="I29" s="97">
        <v>64</v>
      </c>
      <c r="J29" s="97"/>
      <c r="K29" s="98">
        <v>63</v>
      </c>
      <c r="L29" s="99">
        <v>30</v>
      </c>
      <c r="M29" s="99">
        <v>48</v>
      </c>
      <c r="N29" s="212"/>
      <c r="O29" s="100">
        <v>48</v>
      </c>
      <c r="P29" s="100">
        <v>36</v>
      </c>
      <c r="Q29" s="103">
        <f>36/48</f>
        <v>0.75</v>
      </c>
      <c r="R29" s="103"/>
      <c r="S29" s="348">
        <v>30</v>
      </c>
      <c r="T29" s="349">
        <v>15</v>
      </c>
      <c r="U29" s="350">
        <f t="shared" si="2"/>
        <v>0.5</v>
      </c>
      <c r="V29" s="351"/>
    </row>
    <row r="30" spans="1:33">
      <c r="A30" s="93" t="s">
        <v>59</v>
      </c>
      <c r="B30" s="112" t="s">
        <v>60</v>
      </c>
      <c r="C30" s="286">
        <v>23</v>
      </c>
      <c r="D30" s="100">
        <v>21</v>
      </c>
      <c r="E30" s="269">
        <f t="shared" si="3"/>
        <v>0.91304347826086951</v>
      </c>
      <c r="F30" s="294"/>
      <c r="G30" s="97">
        <v>15</v>
      </c>
      <c r="H30" s="97">
        <v>13</v>
      </c>
      <c r="I30" s="97">
        <v>87</v>
      </c>
      <c r="J30" s="97"/>
      <c r="K30" s="98">
        <v>29</v>
      </c>
      <c r="L30" s="99">
        <v>23</v>
      </c>
      <c r="M30" s="99">
        <v>79</v>
      </c>
      <c r="N30" s="212"/>
      <c r="O30" s="100">
        <v>12</v>
      </c>
      <c r="P30" s="100">
        <v>12</v>
      </c>
      <c r="Q30" s="103">
        <v>1</v>
      </c>
      <c r="R30" s="103"/>
      <c r="S30" s="348">
        <v>15</v>
      </c>
      <c r="T30" s="349">
        <v>15</v>
      </c>
      <c r="U30" s="350">
        <f t="shared" si="2"/>
        <v>1</v>
      </c>
      <c r="V30" s="351"/>
    </row>
    <row r="31" spans="1:33">
      <c r="A31" s="93" t="s">
        <v>61</v>
      </c>
      <c r="B31" s="112" t="s">
        <v>62</v>
      </c>
      <c r="C31" s="286">
        <v>32</v>
      </c>
      <c r="D31" s="100">
        <v>20</v>
      </c>
      <c r="E31" s="269">
        <f t="shared" si="3"/>
        <v>0.625</v>
      </c>
      <c r="F31" s="294"/>
      <c r="G31" s="97">
        <v>56</v>
      </c>
      <c r="H31" s="97">
        <v>27</v>
      </c>
      <c r="I31" s="97">
        <v>48</v>
      </c>
      <c r="J31" s="97"/>
      <c r="K31" s="98">
        <v>17</v>
      </c>
      <c r="L31" s="99">
        <v>2</v>
      </c>
      <c r="M31" s="105">
        <v>0.12</v>
      </c>
      <c r="N31" s="106"/>
      <c r="O31" s="100"/>
      <c r="P31" s="100"/>
      <c r="Q31" s="103"/>
      <c r="R31" s="103"/>
      <c r="S31" s="348"/>
      <c r="T31" s="349"/>
      <c r="U31" s="350"/>
      <c r="V31" s="351"/>
    </row>
    <row r="32" spans="1:33">
      <c r="A32" s="93" t="s">
        <v>63</v>
      </c>
      <c r="B32" s="112" t="s">
        <v>64</v>
      </c>
      <c r="C32" s="286"/>
      <c r="D32" s="100"/>
      <c r="E32" s="269"/>
      <c r="F32" s="294"/>
      <c r="G32" s="97">
        <v>8</v>
      </c>
      <c r="H32" s="97">
        <v>2</v>
      </c>
      <c r="I32" s="97">
        <v>25</v>
      </c>
      <c r="J32" s="97"/>
      <c r="K32" s="98">
        <v>58</v>
      </c>
      <c r="L32" s="99">
        <v>28</v>
      </c>
      <c r="M32" s="105">
        <v>0.48</v>
      </c>
      <c r="N32" s="212"/>
      <c r="O32" s="100">
        <v>74</v>
      </c>
      <c r="P32" s="100">
        <v>31</v>
      </c>
      <c r="Q32" s="103">
        <f>31/74</f>
        <v>0.41891891891891891</v>
      </c>
      <c r="R32" s="103"/>
      <c r="S32" s="348">
        <v>48</v>
      </c>
      <c r="T32" s="349">
        <v>35</v>
      </c>
      <c r="U32" s="350">
        <f t="shared" si="2"/>
        <v>0.72916666666666663</v>
      </c>
      <c r="V32" s="351"/>
    </row>
    <row r="33" spans="1:22">
      <c r="A33" s="93" t="s">
        <v>65</v>
      </c>
      <c r="B33" s="112" t="s">
        <v>66</v>
      </c>
      <c r="C33" s="286">
        <v>53</v>
      </c>
      <c r="D33" s="100">
        <v>31</v>
      </c>
      <c r="E33" s="269">
        <f t="shared" si="3"/>
        <v>0.58490566037735847</v>
      </c>
      <c r="F33" s="294"/>
      <c r="G33" s="97">
        <v>46</v>
      </c>
      <c r="H33" s="97">
        <v>27</v>
      </c>
      <c r="I33" s="97">
        <v>59</v>
      </c>
      <c r="J33" s="97"/>
      <c r="K33" s="98"/>
      <c r="L33" s="99"/>
      <c r="M33" s="105"/>
      <c r="N33" s="212"/>
      <c r="O33" s="100"/>
      <c r="P33" s="100"/>
      <c r="Q33" s="103"/>
      <c r="R33" s="103"/>
      <c r="S33" s="348"/>
      <c r="T33" s="349"/>
      <c r="U33" s="350"/>
      <c r="V33" s="351"/>
    </row>
    <row r="34" spans="1:22">
      <c r="A34" s="93" t="s">
        <v>67</v>
      </c>
      <c r="B34" s="112" t="s">
        <v>68</v>
      </c>
      <c r="C34" s="286">
        <v>29</v>
      </c>
      <c r="D34" s="100">
        <v>11</v>
      </c>
      <c r="E34" s="269">
        <f t="shared" si="3"/>
        <v>0.37931034482758619</v>
      </c>
      <c r="F34" s="294"/>
      <c r="G34" s="97">
        <v>31</v>
      </c>
      <c r="H34" s="97">
        <v>10</v>
      </c>
      <c r="I34" s="97">
        <v>32</v>
      </c>
      <c r="J34" s="97"/>
      <c r="K34" s="98">
        <v>36</v>
      </c>
      <c r="L34" s="99">
        <v>16</v>
      </c>
      <c r="M34" s="99">
        <v>44</v>
      </c>
      <c r="N34" s="212"/>
      <c r="O34" s="100">
        <v>40</v>
      </c>
      <c r="P34" s="100">
        <v>15</v>
      </c>
      <c r="Q34" s="103">
        <f>15/40</f>
        <v>0.375</v>
      </c>
      <c r="R34" s="103"/>
      <c r="S34" s="348">
        <v>14</v>
      </c>
      <c r="T34" s="349">
        <v>4</v>
      </c>
      <c r="U34" s="350">
        <f t="shared" si="2"/>
        <v>0.2857142857142857</v>
      </c>
      <c r="V34" s="351"/>
    </row>
    <row r="35" spans="1:22">
      <c r="A35" s="93" t="s">
        <v>69</v>
      </c>
      <c r="B35" s="112" t="s">
        <v>70</v>
      </c>
      <c r="C35" s="286">
        <v>131</v>
      </c>
      <c r="D35" s="100">
        <v>73</v>
      </c>
      <c r="E35" s="269">
        <f t="shared" si="3"/>
        <v>0.5572519083969466</v>
      </c>
      <c r="F35" s="294"/>
      <c r="G35" s="97">
        <v>178</v>
      </c>
      <c r="H35" s="97">
        <v>101</v>
      </c>
      <c r="I35" s="97">
        <v>56</v>
      </c>
      <c r="J35" s="97"/>
      <c r="K35" s="98">
        <v>291</v>
      </c>
      <c r="L35" s="99">
        <v>138</v>
      </c>
      <c r="M35" s="99">
        <v>47</v>
      </c>
      <c r="N35" s="212"/>
      <c r="O35" s="100">
        <v>144</v>
      </c>
      <c r="P35" s="100">
        <v>112</v>
      </c>
      <c r="Q35" s="103">
        <f>112/144</f>
        <v>0.77777777777777779</v>
      </c>
      <c r="R35" s="103"/>
      <c r="S35" s="348">
        <v>134</v>
      </c>
      <c r="T35" s="349">
        <v>62</v>
      </c>
      <c r="U35" s="350">
        <f t="shared" si="2"/>
        <v>0.46268656716417911</v>
      </c>
      <c r="V35" s="351"/>
    </row>
    <row r="36" spans="1:22">
      <c r="A36" s="93" t="s">
        <v>71</v>
      </c>
      <c r="B36" s="112" t="s">
        <v>72</v>
      </c>
      <c r="C36" s="286">
        <v>94</v>
      </c>
      <c r="D36" s="100">
        <v>44</v>
      </c>
      <c r="E36" s="269">
        <f t="shared" si="3"/>
        <v>0.46808510638297873</v>
      </c>
      <c r="F36" s="294"/>
      <c r="G36" s="97">
        <v>135</v>
      </c>
      <c r="H36" s="97">
        <v>71</v>
      </c>
      <c r="I36" s="97">
        <v>53</v>
      </c>
      <c r="J36" s="97"/>
      <c r="K36" s="98">
        <v>204</v>
      </c>
      <c r="L36" s="99">
        <v>90</v>
      </c>
      <c r="M36" s="99">
        <v>44</v>
      </c>
      <c r="N36" s="212"/>
      <c r="O36" s="100">
        <v>167</v>
      </c>
      <c r="P36" s="100">
        <v>81</v>
      </c>
      <c r="Q36" s="103">
        <f>81/167</f>
        <v>0.48502994011976047</v>
      </c>
      <c r="R36" s="103"/>
      <c r="S36" s="348">
        <v>149</v>
      </c>
      <c r="T36" s="349">
        <v>54</v>
      </c>
      <c r="U36" s="350">
        <f t="shared" si="2"/>
        <v>0.36241610738255031</v>
      </c>
      <c r="V36" s="351"/>
    </row>
    <row r="37" spans="1:22">
      <c r="A37" s="93" t="s">
        <v>73</v>
      </c>
      <c r="B37" s="112" t="s">
        <v>74</v>
      </c>
      <c r="C37" s="286">
        <v>62</v>
      </c>
      <c r="D37" s="100">
        <v>38</v>
      </c>
      <c r="E37" s="269">
        <f t="shared" si="3"/>
        <v>0.61290322580645162</v>
      </c>
      <c r="F37" s="294"/>
      <c r="G37" s="97">
        <v>72</v>
      </c>
      <c r="H37" s="97">
        <v>53</v>
      </c>
      <c r="I37" s="97">
        <v>73</v>
      </c>
      <c r="J37" s="97"/>
      <c r="K37" s="98">
        <v>63</v>
      </c>
      <c r="L37" s="99">
        <v>39</v>
      </c>
      <c r="M37" s="101">
        <f>39/63</f>
        <v>0.61904761904761907</v>
      </c>
      <c r="N37" s="211"/>
      <c r="O37" s="100">
        <v>71</v>
      </c>
      <c r="P37" s="100">
        <v>48</v>
      </c>
      <c r="Q37" s="103">
        <f>48/71</f>
        <v>0.676056338028169</v>
      </c>
      <c r="R37" s="103"/>
      <c r="S37" s="348">
        <v>73</v>
      </c>
      <c r="T37" s="349">
        <v>48</v>
      </c>
      <c r="U37" s="350">
        <f t="shared" si="2"/>
        <v>0.65753424657534243</v>
      </c>
      <c r="V37" s="351"/>
    </row>
    <row r="38" spans="1:22">
      <c r="A38" s="93" t="s">
        <v>75</v>
      </c>
      <c r="B38" s="112" t="s">
        <v>76</v>
      </c>
      <c r="C38" s="286">
        <v>27</v>
      </c>
      <c r="D38" s="100">
        <v>22</v>
      </c>
      <c r="E38" s="269">
        <f t="shared" si="3"/>
        <v>0.81481481481481477</v>
      </c>
      <c r="F38" s="294"/>
      <c r="G38" s="97">
        <v>56</v>
      </c>
      <c r="H38" s="97">
        <v>44</v>
      </c>
      <c r="I38" s="97">
        <v>79</v>
      </c>
      <c r="J38" s="97"/>
      <c r="K38" s="98">
        <v>50</v>
      </c>
      <c r="L38" s="99">
        <v>21</v>
      </c>
      <c r="M38" s="101">
        <f>21/50</f>
        <v>0.42</v>
      </c>
      <c r="N38" s="211"/>
      <c r="O38" s="100">
        <v>66</v>
      </c>
      <c r="P38" s="100">
        <v>34</v>
      </c>
      <c r="Q38" s="103">
        <f>34/66</f>
        <v>0.51515151515151514</v>
      </c>
      <c r="R38" s="103"/>
      <c r="S38" s="348">
        <v>58</v>
      </c>
      <c r="T38" s="349">
        <v>36</v>
      </c>
      <c r="U38" s="350">
        <f t="shared" si="2"/>
        <v>0.62068965517241381</v>
      </c>
      <c r="V38" s="351"/>
    </row>
    <row r="39" spans="1:22">
      <c r="A39" s="93" t="s">
        <v>77</v>
      </c>
      <c r="B39" s="112" t="s">
        <v>78</v>
      </c>
      <c r="C39" s="286">
        <v>67</v>
      </c>
      <c r="D39" s="100">
        <v>28</v>
      </c>
      <c r="E39" s="269">
        <f t="shared" si="3"/>
        <v>0.41791044776119401</v>
      </c>
      <c r="F39" s="294"/>
      <c r="G39" s="97" t="s">
        <v>79</v>
      </c>
      <c r="H39" s="97"/>
      <c r="I39" s="97"/>
      <c r="J39" s="97"/>
      <c r="K39" s="98">
        <v>75</v>
      </c>
      <c r="L39" s="99">
        <v>27</v>
      </c>
      <c r="M39" s="101">
        <f>27/75</f>
        <v>0.36</v>
      </c>
      <c r="N39" s="211"/>
      <c r="O39" s="100" t="s">
        <v>79</v>
      </c>
      <c r="P39" s="100"/>
      <c r="Q39" s="103"/>
      <c r="R39" s="103"/>
      <c r="S39" s="348">
        <v>47</v>
      </c>
      <c r="T39" s="349">
        <v>10</v>
      </c>
      <c r="U39" s="350">
        <f t="shared" si="2"/>
        <v>0.21276595744680851</v>
      </c>
      <c r="V39" s="351"/>
    </row>
    <row r="40" spans="1:22">
      <c r="A40" s="93" t="s">
        <v>80</v>
      </c>
      <c r="B40" s="112" t="s">
        <v>81</v>
      </c>
      <c r="C40" s="286"/>
      <c r="D40" s="100"/>
      <c r="E40" s="269"/>
      <c r="F40" s="294"/>
      <c r="G40" s="97">
        <v>105</v>
      </c>
      <c r="H40" s="97">
        <v>62</v>
      </c>
      <c r="I40" s="97">
        <v>59</v>
      </c>
      <c r="J40" s="97"/>
      <c r="K40" s="98">
        <v>146</v>
      </c>
      <c r="L40" s="99">
        <v>80</v>
      </c>
      <c r="M40" s="105">
        <v>0.55000000000000004</v>
      </c>
      <c r="N40" s="212"/>
      <c r="O40" s="158">
        <v>101</v>
      </c>
      <c r="P40" s="158">
        <v>59</v>
      </c>
      <c r="Q40" s="159">
        <f>59/101</f>
        <v>0.58415841584158412</v>
      </c>
      <c r="R40" s="159"/>
      <c r="S40" s="352">
        <v>67</v>
      </c>
      <c r="T40" s="353">
        <v>52</v>
      </c>
      <c r="U40" s="350">
        <f t="shared" si="2"/>
        <v>0.77611940298507465</v>
      </c>
      <c r="V40" s="354"/>
    </row>
    <row r="41" spans="1:22">
      <c r="A41" s="93" t="s">
        <v>82</v>
      </c>
      <c r="B41" s="112" t="s">
        <v>83</v>
      </c>
      <c r="C41" s="286">
        <v>9</v>
      </c>
      <c r="D41" s="100">
        <v>6</v>
      </c>
      <c r="E41" s="269">
        <f t="shared" si="3"/>
        <v>0.66666666666666663</v>
      </c>
      <c r="F41" s="294"/>
      <c r="G41" s="97">
        <v>11</v>
      </c>
      <c r="H41" s="97">
        <v>10</v>
      </c>
      <c r="I41" s="97">
        <v>90</v>
      </c>
      <c r="J41" s="97"/>
      <c r="K41" s="154">
        <v>19</v>
      </c>
      <c r="L41" s="155">
        <v>19</v>
      </c>
      <c r="M41" s="156">
        <v>1</v>
      </c>
      <c r="N41" s="213"/>
      <c r="O41" s="158">
        <v>6</v>
      </c>
      <c r="P41" s="158">
        <v>6</v>
      </c>
      <c r="Q41" s="166">
        <v>1</v>
      </c>
      <c r="R41" s="166"/>
      <c r="S41" s="352">
        <v>10</v>
      </c>
      <c r="T41" s="353">
        <v>10</v>
      </c>
      <c r="U41" s="350">
        <f t="shared" si="2"/>
        <v>1</v>
      </c>
      <c r="V41" s="354"/>
    </row>
    <row r="42" spans="1:22">
      <c r="A42" s="93" t="s">
        <v>84</v>
      </c>
      <c r="B42" s="112" t="s">
        <v>85</v>
      </c>
      <c r="C42" s="286">
        <v>57</v>
      </c>
      <c r="D42" s="100">
        <v>19</v>
      </c>
      <c r="E42" s="269">
        <f t="shared" si="3"/>
        <v>0.33333333333333331</v>
      </c>
      <c r="F42" s="294"/>
      <c r="G42" s="97">
        <v>59</v>
      </c>
      <c r="H42" s="97">
        <v>20</v>
      </c>
      <c r="I42" s="97">
        <v>34</v>
      </c>
      <c r="J42" s="97"/>
      <c r="K42" s="98">
        <v>68</v>
      </c>
      <c r="L42" s="99">
        <v>28</v>
      </c>
      <c r="M42" s="99">
        <v>41</v>
      </c>
      <c r="N42" s="212"/>
      <c r="O42" s="158">
        <v>74</v>
      </c>
      <c r="P42" s="158">
        <v>23</v>
      </c>
      <c r="Q42" s="166">
        <f>23/74</f>
        <v>0.3108108108108108</v>
      </c>
      <c r="R42" s="166"/>
      <c r="S42" s="352">
        <v>58</v>
      </c>
      <c r="T42" s="353">
        <v>15</v>
      </c>
      <c r="U42" s="350">
        <f t="shared" si="2"/>
        <v>0.25862068965517243</v>
      </c>
      <c r="V42" s="354"/>
    </row>
    <row r="43" spans="1:22">
      <c r="A43" s="93" t="s">
        <v>86</v>
      </c>
      <c r="B43" s="112" t="s">
        <v>87</v>
      </c>
      <c r="C43" s="286">
        <v>74</v>
      </c>
      <c r="D43" s="100">
        <v>52</v>
      </c>
      <c r="E43" s="269">
        <f t="shared" si="3"/>
        <v>0.70270270270270274</v>
      </c>
      <c r="F43" s="294"/>
      <c r="G43" s="97">
        <v>78</v>
      </c>
      <c r="H43" s="97">
        <v>42</v>
      </c>
      <c r="I43" s="97">
        <v>54</v>
      </c>
      <c r="J43" s="97"/>
      <c r="K43" s="154">
        <v>84</v>
      </c>
      <c r="L43" s="155">
        <v>42</v>
      </c>
      <c r="M43" s="156">
        <v>0.5</v>
      </c>
      <c r="N43" s="213"/>
      <c r="O43" s="158">
        <v>96</v>
      </c>
      <c r="P43" s="158">
        <v>69</v>
      </c>
      <c r="Q43" s="166">
        <f>69/96</f>
        <v>0.71875</v>
      </c>
      <c r="R43" s="166"/>
      <c r="S43" s="352">
        <v>66</v>
      </c>
      <c r="T43" s="353">
        <v>43</v>
      </c>
      <c r="U43" s="350">
        <f t="shared" si="2"/>
        <v>0.65151515151515149</v>
      </c>
      <c r="V43" s="354"/>
    </row>
    <row r="44" spans="1:22">
      <c r="A44" s="93" t="s">
        <v>88</v>
      </c>
      <c r="B44" s="112" t="s">
        <v>89</v>
      </c>
      <c r="C44" s="286">
        <v>85</v>
      </c>
      <c r="D44" s="100">
        <v>36</v>
      </c>
      <c r="E44" s="269">
        <f t="shared" si="3"/>
        <v>0.42352941176470588</v>
      </c>
      <c r="F44" s="294"/>
      <c r="G44" s="97">
        <v>99</v>
      </c>
      <c r="H44" s="97">
        <v>48</v>
      </c>
      <c r="I44" s="97">
        <v>49</v>
      </c>
      <c r="J44" s="97"/>
      <c r="K44" s="98">
        <v>132</v>
      </c>
      <c r="L44" s="99">
        <v>60</v>
      </c>
      <c r="M44" s="99">
        <v>45</v>
      </c>
      <c r="N44" s="212"/>
      <c r="O44" s="158">
        <v>89</v>
      </c>
      <c r="P44" s="158">
        <v>46</v>
      </c>
      <c r="Q44" s="166">
        <f>46/89</f>
        <v>0.5168539325842697</v>
      </c>
      <c r="R44" s="166"/>
      <c r="S44" s="352">
        <v>76</v>
      </c>
      <c r="T44" s="353">
        <v>29</v>
      </c>
      <c r="U44" s="350">
        <f t="shared" si="2"/>
        <v>0.38157894736842107</v>
      </c>
      <c r="V44" s="354"/>
    </row>
    <row r="45" spans="1:22">
      <c r="A45" s="93" t="s">
        <v>90</v>
      </c>
      <c r="B45" s="112" t="s">
        <v>91</v>
      </c>
      <c r="C45" s="286">
        <v>130</v>
      </c>
      <c r="D45" s="100">
        <v>78</v>
      </c>
      <c r="E45" s="269">
        <f t="shared" si="3"/>
        <v>0.6</v>
      </c>
      <c r="F45" s="294"/>
      <c r="G45" s="97">
        <v>151</v>
      </c>
      <c r="H45" s="97">
        <v>92</v>
      </c>
      <c r="I45" s="97">
        <v>61</v>
      </c>
      <c r="J45" s="97"/>
      <c r="K45" s="98">
        <v>188</v>
      </c>
      <c r="L45" s="99">
        <v>106</v>
      </c>
      <c r="M45" s="99">
        <v>56</v>
      </c>
      <c r="N45" s="212"/>
      <c r="O45" s="158">
        <v>96</v>
      </c>
      <c r="P45" s="158">
        <v>74</v>
      </c>
      <c r="Q45" s="166">
        <f>74/96</f>
        <v>0.77083333333333337</v>
      </c>
      <c r="R45" s="166"/>
      <c r="S45" s="352">
        <v>138</v>
      </c>
      <c r="T45" s="353">
        <v>62</v>
      </c>
      <c r="U45" s="350">
        <f t="shared" si="2"/>
        <v>0.44927536231884058</v>
      </c>
      <c r="V45" s="354"/>
    </row>
    <row r="46" spans="1:22" ht="13.5" thickBot="1">
      <c r="A46" s="93" t="s">
        <v>92</v>
      </c>
      <c r="B46" s="112" t="s">
        <v>93</v>
      </c>
      <c r="C46" s="286">
        <v>84</v>
      </c>
      <c r="D46" s="100">
        <v>37</v>
      </c>
      <c r="E46" s="269">
        <f t="shared" si="3"/>
        <v>0.44047619047619047</v>
      </c>
      <c r="F46" s="294"/>
      <c r="G46" s="97">
        <v>126</v>
      </c>
      <c r="H46" s="97">
        <v>55</v>
      </c>
      <c r="I46" s="97">
        <v>44</v>
      </c>
      <c r="J46" s="97"/>
      <c r="K46" s="98">
        <v>137</v>
      </c>
      <c r="L46" s="99">
        <v>62</v>
      </c>
      <c r="M46" s="99">
        <v>45</v>
      </c>
      <c r="N46" s="212"/>
      <c r="O46" s="158">
        <v>108</v>
      </c>
      <c r="P46" s="158">
        <v>61</v>
      </c>
      <c r="Q46" s="166">
        <f>61/108</f>
        <v>0.56481481481481477</v>
      </c>
      <c r="R46" s="166"/>
      <c r="S46" s="355">
        <v>89</v>
      </c>
      <c r="T46" s="356">
        <v>46</v>
      </c>
      <c r="U46" s="357">
        <f t="shared" si="2"/>
        <v>0.5168539325842697</v>
      </c>
      <c r="V46" s="358"/>
    </row>
    <row r="47" spans="1:22" ht="13.5" thickBot="1">
      <c r="A47" s="136"/>
      <c r="B47" s="201" t="s">
        <v>42</v>
      </c>
      <c r="C47" s="290">
        <f>SUM(C24:C46)</f>
        <v>1263</v>
      </c>
      <c r="D47" s="124">
        <f>SUM(D24:D46)</f>
        <v>691</v>
      </c>
      <c r="E47" s="291">
        <f>(SUM(E26:E46)/19)</f>
        <v>0.56765528833312029</v>
      </c>
      <c r="F47" s="271"/>
      <c r="G47" s="138">
        <f>SUM(G24:G46)</f>
        <v>1672</v>
      </c>
      <c r="H47" s="138">
        <f>SUM(H24:H46)</f>
        <v>922</v>
      </c>
      <c r="I47" s="198">
        <v>0.55000000000000004</v>
      </c>
      <c r="J47" s="138"/>
      <c r="K47" s="145">
        <f>SUM(K26:K46)</f>
        <v>2100</v>
      </c>
      <c r="L47" s="189">
        <f>SUM(L24:L46)</f>
        <v>1059</v>
      </c>
      <c r="M47" s="214">
        <v>0.5</v>
      </c>
      <c r="N47" s="215"/>
      <c r="O47" s="141">
        <f>SUM(O24:O46)</f>
        <v>1574</v>
      </c>
      <c r="P47" s="141">
        <f>SUM(P24:P46)</f>
        <v>924</v>
      </c>
      <c r="Q47" s="199">
        <v>0.57999999999999996</v>
      </c>
      <c r="R47" s="168"/>
      <c r="S47" s="359">
        <f>SUM(S24:S46)</f>
        <v>1410</v>
      </c>
      <c r="T47" s="360">
        <f>SUM(T24:T46)</f>
        <v>704</v>
      </c>
      <c r="U47" s="361">
        <f>(SUM(U24:U46)/21)</f>
        <v>0.57947625975592998</v>
      </c>
      <c r="V47" s="341"/>
    </row>
    <row r="48" spans="1:22" ht="13.5" thickBot="1">
      <c r="A48" s="92"/>
      <c r="B48" s="108"/>
      <c r="C48" s="108"/>
      <c r="D48" s="108"/>
      <c r="E48" s="108"/>
      <c r="F48" s="108"/>
      <c r="G48" s="108"/>
      <c r="H48" s="108"/>
      <c r="I48" s="108"/>
      <c r="J48" s="108"/>
      <c r="K48" s="109"/>
      <c r="L48" s="109"/>
      <c r="M48" s="127"/>
      <c r="N48" s="127"/>
      <c r="O48" s="109"/>
      <c r="P48" s="109"/>
      <c r="Q48" s="127"/>
      <c r="R48" s="127"/>
      <c r="S48" s="127"/>
      <c r="T48" s="127"/>
      <c r="U48" s="127"/>
      <c r="V48" s="127"/>
    </row>
    <row r="49" spans="1:32">
      <c r="A49" s="118" t="s">
        <v>94</v>
      </c>
      <c r="B49" s="224" t="s">
        <v>95</v>
      </c>
      <c r="C49" s="295">
        <f>C28+C29+C31+C33+C34+C37+C38+C41+C43</f>
        <v>425</v>
      </c>
      <c r="D49" s="292">
        <f>D28+D29+D31+D33+D34+D37+D38+D41+D43</f>
        <v>267</v>
      </c>
      <c r="E49" s="330">
        <f>D49/C49</f>
        <v>0.62823529411764711</v>
      </c>
      <c r="F49" s="296"/>
      <c r="G49" s="206">
        <v>578</v>
      </c>
      <c r="H49" s="206">
        <v>362</v>
      </c>
      <c r="I49" s="207">
        <v>0.62</v>
      </c>
      <c r="J49" s="206"/>
      <c r="K49" s="204">
        <v>649</v>
      </c>
      <c r="L49" s="173">
        <v>344</v>
      </c>
      <c r="M49" s="174">
        <f>344/649</f>
        <v>0.53004622496147924</v>
      </c>
      <c r="N49" s="217"/>
      <c r="O49" s="175">
        <v>590</v>
      </c>
      <c r="P49" s="175">
        <v>346</v>
      </c>
      <c r="Q49" s="176">
        <f>346/590</f>
        <v>0.58644067796610166</v>
      </c>
      <c r="R49" s="176"/>
      <c r="S49" s="373">
        <f>S28+S29+S32+S34+S37+S38+S40+S41+S43</f>
        <v>440</v>
      </c>
      <c r="T49" s="375">
        <f>T28+T29+T32+T34+T37+T38+T40+T41+T43</f>
        <v>282</v>
      </c>
      <c r="U49" s="174">
        <f>T49/S49</f>
        <v>0.64090909090909087</v>
      </c>
      <c r="V49" s="217"/>
    </row>
    <row r="50" spans="1:32" ht="13.5" thickBot="1">
      <c r="A50" s="119" t="s">
        <v>96</v>
      </c>
      <c r="B50" s="225" t="s">
        <v>97</v>
      </c>
      <c r="C50" s="297">
        <f>C26+C27+C30+C35+C36+C39+C42+C44+C45+C46</f>
        <v>838</v>
      </c>
      <c r="D50" s="293">
        <f>D26+D27+D30+D35+D36+D39+D42+D44+D45+D46</f>
        <v>424</v>
      </c>
      <c r="E50" s="331">
        <f>D50/C50</f>
        <v>0.5059665871121718</v>
      </c>
      <c r="F50" s="298"/>
      <c r="G50" s="208">
        <v>1094</v>
      </c>
      <c r="H50" s="208">
        <v>560</v>
      </c>
      <c r="I50" s="209">
        <v>0.51</v>
      </c>
      <c r="J50" s="208"/>
      <c r="K50" s="221">
        <v>1722</v>
      </c>
      <c r="L50" s="177">
        <v>891</v>
      </c>
      <c r="M50" s="178">
        <f>891/1722</f>
        <v>0.51742160278745641</v>
      </c>
      <c r="N50" s="222"/>
      <c r="O50" s="125">
        <v>1216</v>
      </c>
      <c r="P50" s="125">
        <v>756</v>
      </c>
      <c r="Q50" s="126">
        <f>756/1216</f>
        <v>0.62171052631578949</v>
      </c>
      <c r="R50" s="126"/>
      <c r="S50" s="374">
        <f>S26+S27+S30+S35+S36+S39+S42+S44+S45+S46</f>
        <v>953</v>
      </c>
      <c r="T50" s="376">
        <f>T26+T27+T30+T35+T36+T39+T42+T44+T45+T46</f>
        <v>406</v>
      </c>
      <c r="U50" s="178">
        <f>T50/S50</f>
        <v>0.42602308499475339</v>
      </c>
      <c r="V50" s="222"/>
    </row>
    <row r="51" spans="1:32" ht="13.5" thickBot="1">
      <c r="A51" s="92"/>
      <c r="B51" s="92"/>
      <c r="C51" s="92"/>
      <c r="D51" s="92"/>
      <c r="E51" s="92"/>
      <c r="F51" s="92"/>
      <c r="G51" s="92"/>
      <c r="H51" s="92"/>
      <c r="I51" s="92"/>
      <c r="J51" s="92"/>
      <c r="M51" s="179"/>
      <c r="N51" s="180"/>
      <c r="Q51" s="179"/>
      <c r="R51" s="179"/>
      <c r="S51" s="179"/>
      <c r="T51" s="179"/>
      <c r="U51" s="179"/>
      <c r="V51" s="179"/>
    </row>
    <row r="52" spans="1:32" ht="13.5" thickBot="1">
      <c r="A52" s="120" t="s">
        <v>1</v>
      </c>
      <c r="B52" s="181" t="s">
        <v>2</v>
      </c>
      <c r="C52" s="181"/>
      <c r="D52" s="181"/>
      <c r="E52" s="181"/>
      <c r="F52" s="181"/>
      <c r="G52" s="181"/>
      <c r="H52" s="181"/>
      <c r="I52" s="181"/>
      <c r="J52" s="181"/>
      <c r="K52" s="182"/>
      <c r="L52" s="182"/>
      <c r="M52" s="183"/>
      <c r="N52" s="183"/>
      <c r="O52" s="182"/>
      <c r="P52" s="182"/>
      <c r="Q52" s="183"/>
      <c r="R52" s="183"/>
      <c r="S52" s="183"/>
      <c r="T52" s="183"/>
      <c r="U52" s="183"/>
      <c r="V52" s="366"/>
      <c r="W52" s="109"/>
      <c r="Y52" s="109"/>
      <c r="Z52" s="110"/>
      <c r="AA52" s="111"/>
      <c r="AB52" s="109"/>
      <c r="AD52" s="109"/>
      <c r="AE52" s="110"/>
      <c r="AF52" s="111"/>
    </row>
    <row r="53" spans="1:32" ht="13.5" thickBot="1">
      <c r="A53" s="115" t="s">
        <v>98</v>
      </c>
      <c r="B53" s="144"/>
      <c r="C53" s="270" t="s">
        <v>9</v>
      </c>
      <c r="D53" s="141" t="s">
        <v>10</v>
      </c>
      <c r="E53" s="141" t="s">
        <v>11</v>
      </c>
      <c r="F53" s="168"/>
      <c r="G53" s="138" t="s">
        <v>9</v>
      </c>
      <c r="H53" s="138" t="s">
        <v>10</v>
      </c>
      <c r="I53" s="138" t="s">
        <v>11</v>
      </c>
      <c r="J53" s="138"/>
      <c r="K53" s="145" t="s">
        <v>13</v>
      </c>
      <c r="L53" s="146" t="s">
        <v>10</v>
      </c>
      <c r="M53" s="147" t="s">
        <v>11</v>
      </c>
      <c r="N53" s="148"/>
      <c r="O53" s="141" t="s">
        <v>13</v>
      </c>
      <c r="P53" s="149" t="s">
        <v>10</v>
      </c>
      <c r="Q53" s="150" t="s">
        <v>11</v>
      </c>
      <c r="R53" s="150"/>
      <c r="S53" s="342" t="s">
        <v>13</v>
      </c>
      <c r="T53" s="253" t="s">
        <v>10</v>
      </c>
      <c r="U53" s="332" t="s">
        <v>11</v>
      </c>
      <c r="V53" s="343" t="s">
        <v>12</v>
      </c>
    </row>
    <row r="54" spans="1:32">
      <c r="A54" s="93" t="s">
        <v>99</v>
      </c>
      <c r="B54" s="92" t="s">
        <v>100</v>
      </c>
      <c r="C54" s="272">
        <v>65</v>
      </c>
      <c r="D54" s="273">
        <v>37</v>
      </c>
      <c r="E54" s="274">
        <f>D54/C54</f>
        <v>0.56923076923076921</v>
      </c>
      <c r="F54" s="275"/>
      <c r="G54" s="97">
        <v>101</v>
      </c>
      <c r="H54" s="97">
        <v>53</v>
      </c>
      <c r="I54" s="97">
        <v>52</v>
      </c>
      <c r="J54" s="97"/>
      <c r="K54" s="226">
        <v>84</v>
      </c>
      <c r="L54" s="227">
        <v>51</v>
      </c>
      <c r="M54" s="227">
        <v>61</v>
      </c>
      <c r="N54" s="228"/>
      <c r="O54" s="100">
        <v>94</v>
      </c>
      <c r="P54" s="100">
        <v>78</v>
      </c>
      <c r="Q54" s="103">
        <f>78/94</f>
        <v>0.82978723404255317</v>
      </c>
      <c r="R54" s="103"/>
      <c r="S54" s="344">
        <v>77</v>
      </c>
      <c r="T54" s="345">
        <v>47</v>
      </c>
      <c r="U54" s="346">
        <f>T54/S54</f>
        <v>0.61038961038961037</v>
      </c>
      <c r="V54" s="347"/>
    </row>
    <row r="55" spans="1:32">
      <c r="A55" s="93" t="s">
        <v>101</v>
      </c>
      <c r="B55" s="92" t="s">
        <v>54</v>
      </c>
      <c r="C55" s="286">
        <v>84</v>
      </c>
      <c r="D55" s="100">
        <v>60</v>
      </c>
      <c r="E55" s="269">
        <f t="shared" ref="E55:E81" si="4">D55/C55</f>
        <v>0.7142857142857143</v>
      </c>
      <c r="F55" s="294"/>
      <c r="G55" s="97">
        <v>82</v>
      </c>
      <c r="H55" s="97">
        <v>57</v>
      </c>
      <c r="I55" s="97">
        <v>70</v>
      </c>
      <c r="J55" s="97"/>
      <c r="K55" s="98">
        <v>119</v>
      </c>
      <c r="L55" s="99">
        <v>79</v>
      </c>
      <c r="M55" s="99">
        <v>66</v>
      </c>
      <c r="N55" s="212"/>
      <c r="O55" s="100">
        <v>86</v>
      </c>
      <c r="P55" s="100">
        <v>65</v>
      </c>
      <c r="Q55" s="103">
        <f>65/86</f>
        <v>0.7558139534883721</v>
      </c>
      <c r="R55" s="103"/>
      <c r="S55" s="348">
        <v>71</v>
      </c>
      <c r="T55" s="349">
        <v>46</v>
      </c>
      <c r="U55" s="350">
        <f t="shared" ref="U55:U81" si="5">T55/S55</f>
        <v>0.647887323943662</v>
      </c>
      <c r="V55" s="351"/>
    </row>
    <row r="56" spans="1:32">
      <c r="A56" s="93" t="s">
        <v>102</v>
      </c>
      <c r="B56" s="92" t="s">
        <v>56</v>
      </c>
      <c r="C56" s="286">
        <v>68</v>
      </c>
      <c r="D56" s="100">
        <v>59</v>
      </c>
      <c r="E56" s="269">
        <f t="shared" si="4"/>
        <v>0.86764705882352944</v>
      </c>
      <c r="F56" s="294"/>
      <c r="G56" s="97">
        <v>56</v>
      </c>
      <c r="H56" s="97">
        <v>37</v>
      </c>
      <c r="I56" s="97">
        <v>66</v>
      </c>
      <c r="J56" s="97"/>
      <c r="K56" s="98">
        <v>46</v>
      </c>
      <c r="L56" s="99">
        <v>30</v>
      </c>
      <c r="M56" s="99">
        <v>65</v>
      </c>
      <c r="N56" s="212"/>
      <c r="O56" s="100">
        <v>45</v>
      </c>
      <c r="P56" s="100">
        <v>35</v>
      </c>
      <c r="Q56" s="103">
        <f>35/45</f>
        <v>0.77777777777777779</v>
      </c>
      <c r="R56" s="103"/>
      <c r="S56" s="348">
        <v>54</v>
      </c>
      <c r="T56" s="349">
        <v>34</v>
      </c>
      <c r="U56" s="350">
        <f t="shared" si="5"/>
        <v>0.62962962962962965</v>
      </c>
      <c r="V56" s="351"/>
    </row>
    <row r="57" spans="1:32">
      <c r="A57" s="93" t="s">
        <v>103</v>
      </c>
      <c r="B57" s="92" t="s">
        <v>58</v>
      </c>
      <c r="C57" s="286">
        <v>47</v>
      </c>
      <c r="D57" s="100">
        <v>29</v>
      </c>
      <c r="E57" s="269">
        <f t="shared" si="4"/>
        <v>0.61702127659574468</v>
      </c>
      <c r="F57" s="294"/>
      <c r="G57" s="97">
        <v>52</v>
      </c>
      <c r="H57" s="97">
        <v>36</v>
      </c>
      <c r="I57" s="97">
        <v>69</v>
      </c>
      <c r="J57" s="97"/>
      <c r="K57" s="98">
        <v>64</v>
      </c>
      <c r="L57" s="99">
        <v>46</v>
      </c>
      <c r="M57" s="99">
        <v>72</v>
      </c>
      <c r="N57" s="212"/>
      <c r="O57" s="100">
        <v>44</v>
      </c>
      <c r="P57" s="100">
        <v>32</v>
      </c>
      <c r="Q57" s="103">
        <f>32/44</f>
        <v>0.72727272727272729</v>
      </c>
      <c r="R57" s="103"/>
      <c r="S57" s="348">
        <v>39</v>
      </c>
      <c r="T57" s="349">
        <v>32</v>
      </c>
      <c r="U57" s="350">
        <f t="shared" si="5"/>
        <v>0.82051282051282048</v>
      </c>
      <c r="V57" s="351"/>
    </row>
    <row r="58" spans="1:32">
      <c r="A58" s="93" t="s">
        <v>104</v>
      </c>
      <c r="B58" s="92" t="s">
        <v>62</v>
      </c>
      <c r="C58" s="286">
        <v>35</v>
      </c>
      <c r="D58" s="100">
        <v>26</v>
      </c>
      <c r="E58" s="269">
        <f t="shared" si="4"/>
        <v>0.74285714285714288</v>
      </c>
      <c r="F58" s="294"/>
      <c r="G58" s="97">
        <v>29</v>
      </c>
      <c r="H58" s="97">
        <v>10</v>
      </c>
      <c r="I58" s="97">
        <v>34</v>
      </c>
      <c r="J58" s="97"/>
      <c r="K58" s="98">
        <v>23</v>
      </c>
      <c r="L58" s="99">
        <v>11</v>
      </c>
      <c r="M58" s="99">
        <v>48</v>
      </c>
      <c r="N58" s="212"/>
      <c r="O58" s="100"/>
      <c r="P58" s="100"/>
      <c r="Q58" s="103"/>
      <c r="R58" s="103"/>
      <c r="S58" s="348"/>
      <c r="T58" s="349"/>
      <c r="U58" s="350"/>
      <c r="V58" s="351"/>
    </row>
    <row r="59" spans="1:32">
      <c r="A59" s="93" t="s">
        <v>105</v>
      </c>
      <c r="B59" s="92" t="s">
        <v>106</v>
      </c>
      <c r="C59" s="286">
        <v>53</v>
      </c>
      <c r="D59" s="100">
        <v>24</v>
      </c>
      <c r="E59" s="269">
        <f t="shared" si="4"/>
        <v>0.45283018867924529</v>
      </c>
      <c r="F59" s="294"/>
      <c r="G59" s="97">
        <v>48</v>
      </c>
      <c r="H59" s="97">
        <v>31</v>
      </c>
      <c r="I59" s="97">
        <v>64</v>
      </c>
      <c r="J59" s="97"/>
      <c r="K59" s="98">
        <v>46</v>
      </c>
      <c r="L59" s="99">
        <v>29</v>
      </c>
      <c r="M59" s="101">
        <f>29/46</f>
        <v>0.63043478260869568</v>
      </c>
      <c r="N59" s="211"/>
      <c r="O59" s="100">
        <v>65</v>
      </c>
      <c r="P59" s="100">
        <v>36</v>
      </c>
      <c r="Q59" s="103">
        <f>36/65</f>
        <v>0.55384615384615388</v>
      </c>
      <c r="R59" s="103"/>
      <c r="S59" s="348">
        <v>52</v>
      </c>
      <c r="T59" s="349">
        <v>19</v>
      </c>
      <c r="U59" s="350">
        <f t="shared" si="5"/>
        <v>0.36538461538461536</v>
      </c>
      <c r="V59" s="351"/>
    </row>
    <row r="60" spans="1:32">
      <c r="A60" s="93" t="s">
        <v>107</v>
      </c>
      <c r="B60" s="92" t="s">
        <v>108</v>
      </c>
      <c r="C60" s="286"/>
      <c r="D60" s="100"/>
      <c r="E60" s="269"/>
      <c r="F60" s="294"/>
      <c r="G60" s="97">
        <v>18</v>
      </c>
      <c r="H60" s="97">
        <v>5</v>
      </c>
      <c r="I60" s="97">
        <v>28</v>
      </c>
      <c r="J60" s="97"/>
      <c r="K60" s="98">
        <v>38</v>
      </c>
      <c r="L60" s="99">
        <v>23</v>
      </c>
      <c r="M60" s="101">
        <f>23/38</f>
        <v>0.60526315789473684</v>
      </c>
      <c r="N60" s="211"/>
      <c r="O60" s="100">
        <v>57</v>
      </c>
      <c r="P60" s="100">
        <v>42</v>
      </c>
      <c r="Q60" s="103">
        <f>42/57</f>
        <v>0.73684210526315785</v>
      </c>
      <c r="R60" s="103"/>
      <c r="S60" s="348">
        <v>34</v>
      </c>
      <c r="T60" s="349">
        <v>21</v>
      </c>
      <c r="U60" s="350">
        <f t="shared" si="5"/>
        <v>0.61764705882352944</v>
      </c>
      <c r="V60" s="351"/>
    </row>
    <row r="61" spans="1:32">
      <c r="A61" s="93" t="s">
        <v>109</v>
      </c>
      <c r="B61" s="92" t="s">
        <v>110</v>
      </c>
      <c r="C61" s="286">
        <v>15</v>
      </c>
      <c r="D61" s="100">
        <v>12</v>
      </c>
      <c r="E61" s="269">
        <f t="shared" si="4"/>
        <v>0.8</v>
      </c>
      <c r="F61" s="294"/>
      <c r="G61" s="97">
        <v>20</v>
      </c>
      <c r="H61" s="97">
        <v>5</v>
      </c>
      <c r="I61" s="97">
        <v>25</v>
      </c>
      <c r="J61" s="97"/>
      <c r="K61" s="98"/>
      <c r="L61" s="99"/>
      <c r="M61" s="101"/>
      <c r="N61" s="211"/>
      <c r="O61" s="100"/>
      <c r="P61" s="100"/>
      <c r="Q61" s="103"/>
      <c r="R61" s="103"/>
      <c r="S61" s="348"/>
      <c r="T61" s="349"/>
      <c r="U61" s="350"/>
      <c r="V61" s="351"/>
    </row>
    <row r="62" spans="1:32">
      <c r="A62" s="93" t="s">
        <v>111</v>
      </c>
      <c r="B62" s="92" t="s">
        <v>68</v>
      </c>
      <c r="C62" s="286">
        <v>25</v>
      </c>
      <c r="D62" s="100">
        <v>19</v>
      </c>
      <c r="E62" s="269">
        <f t="shared" si="4"/>
        <v>0.76</v>
      </c>
      <c r="F62" s="294"/>
      <c r="G62" s="97">
        <v>28</v>
      </c>
      <c r="H62" s="97">
        <v>19</v>
      </c>
      <c r="I62" s="97">
        <v>68</v>
      </c>
      <c r="J62" s="97"/>
      <c r="K62" s="98">
        <v>30</v>
      </c>
      <c r="L62" s="99">
        <v>24</v>
      </c>
      <c r="M62" s="99">
        <v>80</v>
      </c>
      <c r="N62" s="212"/>
      <c r="O62" s="100">
        <v>37</v>
      </c>
      <c r="P62" s="100">
        <v>29</v>
      </c>
      <c r="Q62" s="103">
        <f>29/37</f>
        <v>0.78378378378378377</v>
      </c>
      <c r="R62" s="103"/>
      <c r="S62" s="348">
        <v>21</v>
      </c>
      <c r="T62" s="349">
        <v>16</v>
      </c>
      <c r="U62" s="350">
        <f t="shared" si="5"/>
        <v>0.76190476190476186</v>
      </c>
      <c r="V62" s="351"/>
    </row>
    <row r="63" spans="1:32">
      <c r="A63" s="93" t="s">
        <v>112</v>
      </c>
      <c r="B63" s="92" t="s">
        <v>113</v>
      </c>
      <c r="C63" s="286"/>
      <c r="D63" s="100"/>
      <c r="E63" s="269"/>
      <c r="F63" s="294"/>
      <c r="G63" s="97">
        <v>9</v>
      </c>
      <c r="H63" s="97">
        <v>9</v>
      </c>
      <c r="I63" s="97">
        <v>100</v>
      </c>
      <c r="J63" s="97"/>
      <c r="K63" s="98" t="s">
        <v>114</v>
      </c>
      <c r="L63" s="99"/>
      <c r="M63" s="99"/>
      <c r="N63" s="212"/>
      <c r="O63" s="100"/>
      <c r="P63" s="100"/>
      <c r="Q63" s="103"/>
      <c r="R63" s="103"/>
      <c r="S63" s="348"/>
      <c r="T63" s="349"/>
      <c r="U63" s="350"/>
      <c r="V63" s="351"/>
    </row>
    <row r="64" spans="1:32">
      <c r="A64" s="93" t="s">
        <v>115</v>
      </c>
      <c r="B64" s="92" t="s">
        <v>70</v>
      </c>
      <c r="C64" s="286">
        <v>51</v>
      </c>
      <c r="D64" s="100">
        <v>39</v>
      </c>
      <c r="E64" s="269">
        <f t="shared" si="4"/>
        <v>0.76470588235294112</v>
      </c>
      <c r="F64" s="294"/>
      <c r="G64" s="97">
        <v>50</v>
      </c>
      <c r="H64" s="97">
        <v>26</v>
      </c>
      <c r="I64" s="97">
        <v>52</v>
      </c>
      <c r="J64" s="97"/>
      <c r="K64" s="98">
        <v>99</v>
      </c>
      <c r="L64" s="99">
        <v>62</v>
      </c>
      <c r="M64" s="99">
        <v>62.5</v>
      </c>
      <c r="N64" s="212"/>
      <c r="O64" s="100">
        <v>54</v>
      </c>
      <c r="P64" s="100">
        <v>49</v>
      </c>
      <c r="Q64" s="103">
        <f>49/54</f>
        <v>0.90740740740740744</v>
      </c>
      <c r="R64" s="103"/>
      <c r="S64" s="348">
        <v>83</v>
      </c>
      <c r="T64" s="349">
        <v>51</v>
      </c>
      <c r="U64" s="350">
        <f t="shared" si="5"/>
        <v>0.61445783132530118</v>
      </c>
      <c r="V64" s="351"/>
    </row>
    <row r="65" spans="1:22">
      <c r="A65" s="93" t="s">
        <v>116</v>
      </c>
      <c r="B65" s="92" t="s">
        <v>72</v>
      </c>
      <c r="C65" s="286">
        <v>68</v>
      </c>
      <c r="D65" s="100">
        <v>44</v>
      </c>
      <c r="E65" s="269">
        <f t="shared" si="4"/>
        <v>0.6470588235294118</v>
      </c>
      <c r="F65" s="294"/>
      <c r="G65" s="97">
        <v>90</v>
      </c>
      <c r="H65" s="97">
        <v>56</v>
      </c>
      <c r="I65" s="97">
        <v>62</v>
      </c>
      <c r="J65" s="97"/>
      <c r="K65" s="98">
        <v>156</v>
      </c>
      <c r="L65" s="99">
        <v>112</v>
      </c>
      <c r="M65" s="99">
        <v>72</v>
      </c>
      <c r="N65" s="212"/>
      <c r="O65" s="100">
        <v>93</v>
      </c>
      <c r="P65" s="100">
        <v>65</v>
      </c>
      <c r="Q65" s="159">
        <f>65/93</f>
        <v>0.69892473118279574</v>
      </c>
      <c r="R65" s="159"/>
      <c r="S65" s="352">
        <v>66</v>
      </c>
      <c r="T65" s="353">
        <v>30</v>
      </c>
      <c r="U65" s="350">
        <f t="shared" si="5"/>
        <v>0.45454545454545453</v>
      </c>
      <c r="V65" s="354"/>
    </row>
    <row r="66" spans="1:22">
      <c r="A66" s="93" t="s">
        <v>117</v>
      </c>
      <c r="B66" s="92" t="s">
        <v>118</v>
      </c>
      <c r="C66" s="286">
        <v>62</v>
      </c>
      <c r="D66" s="100">
        <v>40</v>
      </c>
      <c r="E66" s="269">
        <f t="shared" si="4"/>
        <v>0.64516129032258063</v>
      </c>
      <c r="F66" s="294"/>
      <c r="G66" s="97">
        <v>59</v>
      </c>
      <c r="H66" s="97">
        <v>40</v>
      </c>
      <c r="I66" s="97">
        <v>68</v>
      </c>
      <c r="J66" s="97"/>
      <c r="K66" s="98">
        <v>53</v>
      </c>
      <c r="L66" s="99">
        <v>37</v>
      </c>
      <c r="M66" s="99">
        <v>70</v>
      </c>
      <c r="N66" s="212"/>
      <c r="O66" s="100">
        <v>67</v>
      </c>
      <c r="P66" s="100">
        <v>52</v>
      </c>
      <c r="Q66" s="159">
        <f>52/67</f>
        <v>0.77611940298507465</v>
      </c>
      <c r="R66" s="159"/>
      <c r="S66" s="352">
        <v>41</v>
      </c>
      <c r="T66" s="353">
        <v>28</v>
      </c>
      <c r="U66" s="350">
        <f t="shared" si="5"/>
        <v>0.68292682926829273</v>
      </c>
      <c r="V66" s="354"/>
    </row>
    <row r="67" spans="1:22">
      <c r="A67" s="93" t="s">
        <v>119</v>
      </c>
      <c r="B67" s="92" t="s">
        <v>120</v>
      </c>
      <c r="C67" s="286">
        <v>19</v>
      </c>
      <c r="D67" s="100">
        <v>12</v>
      </c>
      <c r="E67" s="269">
        <f t="shared" si="4"/>
        <v>0.63157894736842102</v>
      </c>
      <c r="F67" s="294"/>
      <c r="G67" s="97">
        <v>15</v>
      </c>
      <c r="H67" s="97">
        <v>6</v>
      </c>
      <c r="I67" s="97">
        <v>40</v>
      </c>
      <c r="J67" s="97"/>
      <c r="K67" s="98">
        <v>18</v>
      </c>
      <c r="L67" s="99">
        <v>7</v>
      </c>
      <c r="M67" s="156">
        <f>7/18</f>
        <v>0.3888888888888889</v>
      </c>
      <c r="N67" s="213"/>
      <c r="O67" s="100">
        <v>23</v>
      </c>
      <c r="P67" s="100">
        <v>13</v>
      </c>
      <c r="Q67" s="159">
        <f>13/23</f>
        <v>0.56521739130434778</v>
      </c>
      <c r="R67" s="159"/>
      <c r="S67" s="352">
        <v>13</v>
      </c>
      <c r="T67" s="353">
        <v>7</v>
      </c>
      <c r="U67" s="350">
        <f t="shared" si="5"/>
        <v>0.53846153846153844</v>
      </c>
      <c r="V67" s="354"/>
    </row>
    <row r="68" spans="1:22">
      <c r="A68" s="93" t="s">
        <v>121</v>
      </c>
      <c r="B68" s="92" t="s">
        <v>122</v>
      </c>
      <c r="C68" s="286">
        <v>89</v>
      </c>
      <c r="D68" s="100">
        <v>67</v>
      </c>
      <c r="E68" s="269">
        <f t="shared" si="4"/>
        <v>0.7528089887640449</v>
      </c>
      <c r="F68" s="294"/>
      <c r="G68" s="97">
        <v>91</v>
      </c>
      <c r="H68" s="97">
        <v>69</v>
      </c>
      <c r="I68" s="97">
        <v>76</v>
      </c>
      <c r="J68" s="97"/>
      <c r="K68" s="98">
        <v>81</v>
      </c>
      <c r="L68" s="99">
        <v>56</v>
      </c>
      <c r="M68" s="101">
        <f>56/81</f>
        <v>0.69135802469135799</v>
      </c>
      <c r="N68" s="211"/>
      <c r="O68" s="100">
        <v>74</v>
      </c>
      <c r="P68" s="100">
        <v>51</v>
      </c>
      <c r="Q68" s="103">
        <f>51/74</f>
        <v>0.68918918918918914</v>
      </c>
      <c r="R68" s="103"/>
      <c r="S68" s="348">
        <v>47</v>
      </c>
      <c r="T68" s="349">
        <v>35</v>
      </c>
      <c r="U68" s="350">
        <f t="shared" si="5"/>
        <v>0.74468085106382975</v>
      </c>
      <c r="V68" s="351"/>
    </row>
    <row r="69" spans="1:22">
      <c r="A69" s="93" t="s">
        <v>123</v>
      </c>
      <c r="B69" s="92" t="s">
        <v>78</v>
      </c>
      <c r="C69" s="286">
        <v>24</v>
      </c>
      <c r="D69" s="100">
        <v>11</v>
      </c>
      <c r="E69" s="269">
        <f t="shared" si="4"/>
        <v>0.45833333333333331</v>
      </c>
      <c r="F69" s="294"/>
      <c r="G69" s="97" t="s">
        <v>79</v>
      </c>
      <c r="H69" s="97"/>
      <c r="I69" s="97"/>
      <c r="J69" s="97"/>
      <c r="K69" s="98">
        <v>58</v>
      </c>
      <c r="L69" s="99">
        <v>35</v>
      </c>
      <c r="M69" s="101">
        <f>35/58</f>
        <v>0.60344827586206895</v>
      </c>
      <c r="N69" s="211"/>
      <c r="O69" s="100"/>
      <c r="P69" s="100"/>
      <c r="Q69" s="103"/>
      <c r="R69" s="103"/>
      <c r="S69" s="348">
        <v>26</v>
      </c>
      <c r="T69" s="349">
        <v>12</v>
      </c>
      <c r="U69" s="350">
        <f t="shared" si="5"/>
        <v>0.46153846153846156</v>
      </c>
      <c r="V69" s="351"/>
    </row>
    <row r="70" spans="1:22">
      <c r="A70" s="93" t="s">
        <v>124</v>
      </c>
      <c r="B70" s="92" t="s">
        <v>125</v>
      </c>
      <c r="C70" s="286"/>
      <c r="D70" s="100"/>
      <c r="E70" s="269"/>
      <c r="F70" s="294"/>
      <c r="G70" s="97">
        <v>110</v>
      </c>
      <c r="H70" s="97">
        <v>70</v>
      </c>
      <c r="I70" s="97">
        <v>63</v>
      </c>
      <c r="J70" s="97"/>
      <c r="K70" s="98">
        <v>155</v>
      </c>
      <c r="L70" s="99">
        <v>112</v>
      </c>
      <c r="M70" s="99">
        <v>72</v>
      </c>
      <c r="N70" s="212"/>
      <c r="O70" s="100">
        <v>92</v>
      </c>
      <c r="P70" s="100">
        <v>73</v>
      </c>
      <c r="Q70" s="159">
        <f>73/92</f>
        <v>0.79347826086956519</v>
      </c>
      <c r="R70" s="159"/>
      <c r="S70" s="352">
        <v>86</v>
      </c>
      <c r="T70" s="353">
        <v>76</v>
      </c>
      <c r="U70" s="350">
        <f t="shared" si="5"/>
        <v>0.88372093023255816</v>
      </c>
      <c r="V70" s="354"/>
    </row>
    <row r="71" spans="1:22">
      <c r="A71" s="93" t="s">
        <v>126</v>
      </c>
      <c r="B71" s="92" t="s">
        <v>127</v>
      </c>
      <c r="C71" s="286">
        <v>75</v>
      </c>
      <c r="D71" s="100">
        <v>57</v>
      </c>
      <c r="E71" s="269">
        <f t="shared" si="4"/>
        <v>0.76</v>
      </c>
      <c r="F71" s="294"/>
      <c r="G71" s="97">
        <v>68</v>
      </c>
      <c r="H71" s="97">
        <v>60</v>
      </c>
      <c r="I71" s="97">
        <v>88</v>
      </c>
      <c r="J71" s="97"/>
      <c r="K71" s="98">
        <v>77</v>
      </c>
      <c r="L71" s="99">
        <v>67</v>
      </c>
      <c r="M71" s="99">
        <v>87</v>
      </c>
      <c r="N71" s="212"/>
      <c r="O71" s="100">
        <v>128</v>
      </c>
      <c r="P71" s="100">
        <v>103</v>
      </c>
      <c r="Q71" s="159">
        <f>103/128</f>
        <v>0.8046875</v>
      </c>
      <c r="R71" s="159"/>
      <c r="S71" s="352">
        <v>104</v>
      </c>
      <c r="T71" s="353">
        <v>97</v>
      </c>
      <c r="U71" s="350">
        <f t="shared" si="5"/>
        <v>0.93269230769230771</v>
      </c>
      <c r="V71" s="354"/>
    </row>
    <row r="72" spans="1:22">
      <c r="A72" s="93" t="s">
        <v>128</v>
      </c>
      <c r="B72" s="92" t="s">
        <v>83</v>
      </c>
      <c r="C72" s="286">
        <v>31</v>
      </c>
      <c r="D72" s="100">
        <v>30</v>
      </c>
      <c r="E72" s="269">
        <f t="shared" si="4"/>
        <v>0.967741935483871</v>
      </c>
      <c r="F72" s="294"/>
      <c r="G72" s="97">
        <v>30</v>
      </c>
      <c r="H72" s="97">
        <v>27</v>
      </c>
      <c r="I72" s="97">
        <v>90</v>
      </c>
      <c r="J72" s="97"/>
      <c r="K72" s="98">
        <v>50</v>
      </c>
      <c r="L72" s="99">
        <v>50</v>
      </c>
      <c r="M72" s="156">
        <v>1</v>
      </c>
      <c r="N72" s="213"/>
      <c r="O72" s="100">
        <v>51</v>
      </c>
      <c r="P72" s="100">
        <v>43</v>
      </c>
      <c r="Q72" s="159">
        <f>43/51</f>
        <v>0.84313725490196079</v>
      </c>
      <c r="R72" s="159"/>
      <c r="S72" s="352">
        <v>38</v>
      </c>
      <c r="T72" s="353">
        <v>36</v>
      </c>
      <c r="U72" s="350">
        <f t="shared" si="5"/>
        <v>0.94736842105263153</v>
      </c>
      <c r="V72" s="354"/>
    </row>
    <row r="73" spans="1:22">
      <c r="A73" s="93" t="s">
        <v>129</v>
      </c>
      <c r="B73" s="92" t="s">
        <v>130</v>
      </c>
      <c r="C73" s="286">
        <v>22</v>
      </c>
      <c r="D73" s="100">
        <v>22</v>
      </c>
      <c r="E73" s="269">
        <f t="shared" si="4"/>
        <v>1</v>
      </c>
      <c r="F73" s="294"/>
      <c r="G73" s="97"/>
      <c r="H73" s="97"/>
      <c r="I73" s="97"/>
      <c r="J73" s="97"/>
      <c r="K73" s="98"/>
      <c r="L73" s="99"/>
      <c r="M73" s="156"/>
      <c r="N73" s="213"/>
      <c r="O73" s="100"/>
      <c r="P73" s="100"/>
      <c r="Q73" s="159"/>
      <c r="R73" s="159"/>
      <c r="S73" s="352"/>
      <c r="T73" s="353"/>
      <c r="U73" s="350"/>
      <c r="V73" s="354"/>
    </row>
    <row r="74" spans="1:22">
      <c r="A74" s="93" t="s">
        <v>131</v>
      </c>
      <c r="B74" s="92" t="s">
        <v>132</v>
      </c>
      <c r="C74" s="286">
        <v>95</v>
      </c>
      <c r="D74" s="100">
        <v>72</v>
      </c>
      <c r="E74" s="269">
        <f t="shared" si="4"/>
        <v>0.75789473684210529</v>
      </c>
      <c r="F74" s="294"/>
      <c r="G74" s="97">
        <v>124</v>
      </c>
      <c r="H74" s="97">
        <v>74</v>
      </c>
      <c r="I74" s="97">
        <v>60</v>
      </c>
      <c r="J74" s="97"/>
      <c r="K74" s="98">
        <v>203</v>
      </c>
      <c r="L74" s="99">
        <v>152</v>
      </c>
      <c r="M74" s="99">
        <v>75</v>
      </c>
      <c r="N74" s="212"/>
      <c r="O74" s="100">
        <v>139</v>
      </c>
      <c r="P74" s="100">
        <v>107</v>
      </c>
      <c r="Q74" s="159">
        <f>107/139</f>
        <v>0.76978417266187049</v>
      </c>
      <c r="R74" s="159"/>
      <c r="S74" s="352">
        <v>102</v>
      </c>
      <c r="T74" s="353">
        <v>67</v>
      </c>
      <c r="U74" s="350">
        <f t="shared" si="5"/>
        <v>0.65686274509803921</v>
      </c>
      <c r="V74" s="354"/>
    </row>
    <row r="75" spans="1:22">
      <c r="A75" s="93" t="s">
        <v>133</v>
      </c>
      <c r="B75" s="92" t="s">
        <v>85</v>
      </c>
      <c r="C75" s="286">
        <v>45</v>
      </c>
      <c r="D75" s="100">
        <v>27</v>
      </c>
      <c r="E75" s="269">
        <f t="shared" si="4"/>
        <v>0.6</v>
      </c>
      <c r="F75" s="294"/>
      <c r="G75" s="97">
        <v>38</v>
      </c>
      <c r="H75" s="97">
        <v>25</v>
      </c>
      <c r="I75" s="97">
        <v>66</v>
      </c>
      <c r="J75" s="97"/>
      <c r="K75" s="98">
        <v>59</v>
      </c>
      <c r="L75" s="99">
        <v>36</v>
      </c>
      <c r="M75" s="99">
        <v>61</v>
      </c>
      <c r="N75" s="212"/>
      <c r="O75" s="100">
        <v>74</v>
      </c>
      <c r="P75" s="100">
        <v>57</v>
      </c>
      <c r="Q75" s="159">
        <f>57/74</f>
        <v>0.77027027027027029</v>
      </c>
      <c r="R75" s="159"/>
      <c r="S75" s="352">
        <v>38</v>
      </c>
      <c r="T75" s="353">
        <v>24</v>
      </c>
      <c r="U75" s="350">
        <f t="shared" si="5"/>
        <v>0.63157894736842102</v>
      </c>
      <c r="V75" s="354"/>
    </row>
    <row r="76" spans="1:22">
      <c r="A76" s="93" t="s">
        <v>134</v>
      </c>
      <c r="B76" s="92" t="s">
        <v>135</v>
      </c>
      <c r="C76" s="286">
        <v>27</v>
      </c>
      <c r="D76" s="100">
        <v>18</v>
      </c>
      <c r="E76" s="269">
        <f t="shared" si="4"/>
        <v>0.66666666666666663</v>
      </c>
      <c r="F76" s="294"/>
      <c r="G76" s="97">
        <v>50</v>
      </c>
      <c r="H76" s="97">
        <v>33</v>
      </c>
      <c r="I76" s="97">
        <v>66</v>
      </c>
      <c r="J76" s="97"/>
      <c r="K76" s="98">
        <v>42</v>
      </c>
      <c r="L76" s="99">
        <v>27</v>
      </c>
      <c r="M76" s="99">
        <v>64</v>
      </c>
      <c r="N76" s="212"/>
      <c r="O76" s="100">
        <v>34</v>
      </c>
      <c r="P76" s="100">
        <v>22</v>
      </c>
      <c r="Q76" s="159">
        <f>22/34</f>
        <v>0.6470588235294118</v>
      </c>
      <c r="R76" s="159"/>
      <c r="S76" s="352">
        <v>36</v>
      </c>
      <c r="T76" s="353">
        <v>23</v>
      </c>
      <c r="U76" s="350">
        <f t="shared" si="5"/>
        <v>0.63888888888888884</v>
      </c>
      <c r="V76" s="354"/>
    </row>
    <row r="77" spans="1:22">
      <c r="A77" s="93" t="s">
        <v>136</v>
      </c>
      <c r="B77" s="92" t="s">
        <v>87</v>
      </c>
      <c r="C77" s="286">
        <v>57</v>
      </c>
      <c r="D77" s="100">
        <v>35</v>
      </c>
      <c r="E77" s="269">
        <f t="shared" si="4"/>
        <v>0.61403508771929827</v>
      </c>
      <c r="F77" s="294"/>
      <c r="G77" s="97">
        <v>62</v>
      </c>
      <c r="H77" s="97">
        <v>41</v>
      </c>
      <c r="I77" s="97">
        <v>66</v>
      </c>
      <c r="J77" s="97"/>
      <c r="K77" s="98">
        <v>69</v>
      </c>
      <c r="L77" s="99">
        <v>44</v>
      </c>
      <c r="M77" s="156">
        <f>44/69</f>
        <v>0.6376811594202898</v>
      </c>
      <c r="N77" s="213"/>
      <c r="O77" s="100">
        <v>72</v>
      </c>
      <c r="P77" s="100">
        <v>50</v>
      </c>
      <c r="Q77" s="159">
        <f>50/72</f>
        <v>0.69444444444444442</v>
      </c>
      <c r="R77" s="159"/>
      <c r="S77" s="352">
        <v>39</v>
      </c>
      <c r="T77" s="353">
        <v>32</v>
      </c>
      <c r="U77" s="350">
        <f t="shared" si="5"/>
        <v>0.82051282051282048</v>
      </c>
      <c r="V77" s="354"/>
    </row>
    <row r="78" spans="1:22">
      <c r="A78" s="93" t="s">
        <v>137</v>
      </c>
      <c r="B78" s="92" t="s">
        <v>138</v>
      </c>
      <c r="C78" s="286">
        <v>44</v>
      </c>
      <c r="D78" s="100">
        <v>33</v>
      </c>
      <c r="E78" s="269">
        <f t="shared" si="4"/>
        <v>0.75</v>
      </c>
      <c r="F78" s="294"/>
      <c r="G78" s="97">
        <v>54</v>
      </c>
      <c r="H78" s="97">
        <v>36</v>
      </c>
      <c r="I78" s="97">
        <v>66</v>
      </c>
      <c r="J78" s="97"/>
      <c r="K78" s="98">
        <v>72</v>
      </c>
      <c r="L78" s="99">
        <v>55</v>
      </c>
      <c r="M78" s="156">
        <v>0.76</v>
      </c>
      <c r="N78" s="213"/>
      <c r="O78" s="100">
        <v>48</v>
      </c>
      <c r="P78" s="100">
        <v>36</v>
      </c>
      <c r="Q78" s="159">
        <f>36/48</f>
        <v>0.75</v>
      </c>
      <c r="R78" s="159"/>
      <c r="S78" s="352">
        <v>15</v>
      </c>
      <c r="T78" s="353">
        <v>15</v>
      </c>
      <c r="U78" s="350">
        <f t="shared" si="5"/>
        <v>1</v>
      </c>
      <c r="V78" s="354"/>
    </row>
    <row r="79" spans="1:22">
      <c r="A79" s="93" t="s">
        <v>139</v>
      </c>
      <c r="B79" s="92" t="s">
        <v>89</v>
      </c>
      <c r="C79" s="286">
        <v>41</v>
      </c>
      <c r="D79" s="100">
        <v>21</v>
      </c>
      <c r="E79" s="269">
        <f t="shared" si="4"/>
        <v>0.51219512195121952</v>
      </c>
      <c r="F79" s="294"/>
      <c r="G79" s="97">
        <v>54</v>
      </c>
      <c r="H79" s="97">
        <v>31</v>
      </c>
      <c r="I79" s="97">
        <v>57</v>
      </c>
      <c r="J79" s="97"/>
      <c r="K79" s="98">
        <v>54</v>
      </c>
      <c r="L79" s="99">
        <v>33</v>
      </c>
      <c r="M79" s="105">
        <v>0.61</v>
      </c>
      <c r="N79" s="212"/>
      <c r="O79" s="100">
        <v>71</v>
      </c>
      <c r="P79" s="100">
        <v>53</v>
      </c>
      <c r="Q79" s="159">
        <f>53/71</f>
        <v>0.74647887323943662</v>
      </c>
      <c r="R79" s="159"/>
      <c r="S79" s="352">
        <v>47</v>
      </c>
      <c r="T79" s="353">
        <v>32</v>
      </c>
      <c r="U79" s="350">
        <f t="shared" si="5"/>
        <v>0.68085106382978722</v>
      </c>
      <c r="V79" s="354"/>
    </row>
    <row r="80" spans="1:22">
      <c r="A80" s="93" t="s">
        <v>140</v>
      </c>
      <c r="B80" s="92" t="s">
        <v>91</v>
      </c>
      <c r="C80" s="286">
        <v>82</v>
      </c>
      <c r="D80" s="100">
        <v>58</v>
      </c>
      <c r="E80" s="269">
        <f t="shared" si="4"/>
        <v>0.70731707317073167</v>
      </c>
      <c r="F80" s="294"/>
      <c r="G80" s="97">
        <v>95</v>
      </c>
      <c r="H80" s="97">
        <v>64</v>
      </c>
      <c r="I80" s="97">
        <v>67</v>
      </c>
      <c r="J80" s="97"/>
      <c r="K80" s="98">
        <v>111</v>
      </c>
      <c r="L80" s="99">
        <v>72</v>
      </c>
      <c r="M80" s="99">
        <v>100</v>
      </c>
      <c r="N80" s="212"/>
      <c r="O80" s="100">
        <v>81</v>
      </c>
      <c r="P80" s="100">
        <v>74</v>
      </c>
      <c r="Q80" s="159">
        <f>74/81</f>
        <v>0.9135802469135802</v>
      </c>
      <c r="R80" s="159"/>
      <c r="S80" s="352">
        <v>92</v>
      </c>
      <c r="T80" s="353">
        <v>63</v>
      </c>
      <c r="U80" s="350">
        <f t="shared" si="5"/>
        <v>0.68478260869565222</v>
      </c>
      <c r="V80" s="354"/>
    </row>
    <row r="81" spans="1:24" ht="13.5" thickBot="1">
      <c r="A81" s="93" t="s">
        <v>141</v>
      </c>
      <c r="B81" s="92" t="s">
        <v>142</v>
      </c>
      <c r="C81" s="276">
        <v>50</v>
      </c>
      <c r="D81" s="277">
        <v>29</v>
      </c>
      <c r="E81" s="278">
        <f t="shared" si="4"/>
        <v>0.57999999999999996</v>
      </c>
      <c r="F81" s="279"/>
      <c r="G81" s="97">
        <v>87</v>
      </c>
      <c r="H81" s="97">
        <v>47</v>
      </c>
      <c r="I81" s="97">
        <v>54</v>
      </c>
      <c r="J81" s="97"/>
      <c r="K81" s="218">
        <v>108</v>
      </c>
      <c r="L81" s="219">
        <v>74</v>
      </c>
      <c r="M81" s="219">
        <v>68.5</v>
      </c>
      <c r="N81" s="220"/>
      <c r="O81" s="100">
        <v>83</v>
      </c>
      <c r="P81" s="100">
        <v>62</v>
      </c>
      <c r="Q81" s="159">
        <f>62/83</f>
        <v>0.74698795180722888</v>
      </c>
      <c r="R81" s="159"/>
      <c r="S81" s="355">
        <v>60</v>
      </c>
      <c r="T81" s="356">
        <v>34</v>
      </c>
      <c r="U81" s="357">
        <f t="shared" si="5"/>
        <v>0.56666666666666665</v>
      </c>
      <c r="V81" s="358"/>
    </row>
    <row r="82" spans="1:24" ht="13.5" thickBot="1">
      <c r="A82" s="121" t="s">
        <v>43</v>
      </c>
      <c r="B82" s="122" t="s">
        <v>42</v>
      </c>
      <c r="C82" s="124">
        <f>SUM(C54:C81)</f>
        <v>1274</v>
      </c>
      <c r="D82" s="124">
        <f>SUM(D54:D81)</f>
        <v>881</v>
      </c>
      <c r="E82" s="291">
        <f>(SUM(E54:E81)/25)</f>
        <v>0.6935748015190708</v>
      </c>
      <c r="F82" s="124"/>
      <c r="G82" s="123">
        <f>SUM(G54:G81)</f>
        <v>1520</v>
      </c>
      <c r="H82" s="123">
        <f>SUM(H54:H81)</f>
        <v>967</v>
      </c>
      <c r="I82" s="194">
        <v>0.63</v>
      </c>
      <c r="J82" s="123"/>
      <c r="K82" s="210">
        <f>SUM(K54:K81)</f>
        <v>1915</v>
      </c>
      <c r="L82" s="210">
        <v>1329</v>
      </c>
      <c r="M82" s="223">
        <f>1329/1922</f>
        <v>0.69146722164412067</v>
      </c>
      <c r="N82" s="223"/>
      <c r="O82" s="124">
        <v>1646</v>
      </c>
      <c r="P82" s="124">
        <v>1256</v>
      </c>
      <c r="Q82" s="142">
        <f>1256/1646</f>
        <v>0.76306196840826246</v>
      </c>
      <c r="R82" s="142"/>
      <c r="S82" s="363">
        <f>SUM(S54:S81)</f>
        <v>1281</v>
      </c>
      <c r="T82" s="364">
        <f>SUM(T54:T81)</f>
        <v>877</v>
      </c>
      <c r="U82" s="139">
        <f>(SUM(U54:U81)/24)</f>
        <v>0.68307884111788664</v>
      </c>
      <c r="V82" s="365"/>
    </row>
    <row r="83" spans="1:24" ht="13.5" thickBot="1">
      <c r="A83" s="92"/>
      <c r="B83" s="108"/>
      <c r="C83" s="108"/>
      <c r="D83" s="108"/>
      <c r="E83" s="108"/>
      <c r="F83" s="108"/>
      <c r="G83" s="108"/>
      <c r="H83" s="108"/>
      <c r="I83" s="108"/>
      <c r="J83" s="108"/>
      <c r="K83" s="108"/>
      <c r="L83" s="108"/>
      <c r="M83" s="127"/>
      <c r="N83" s="127"/>
      <c r="O83" s="108"/>
      <c r="P83" s="108"/>
      <c r="Q83" s="127"/>
      <c r="R83" s="127"/>
      <c r="S83" s="127"/>
      <c r="T83" s="127"/>
      <c r="U83" s="127"/>
      <c r="V83" s="127"/>
    </row>
    <row r="84" spans="1:24">
      <c r="A84" s="118" t="s">
        <v>94</v>
      </c>
      <c r="B84" s="224" t="s">
        <v>95</v>
      </c>
      <c r="C84" s="292">
        <f>C56+C57+C58+C61+C62+C66+C67+C68+C71+C72+C73+C76+C77+C78</f>
        <v>616</v>
      </c>
      <c r="D84" s="292">
        <f>D56+D57+D58+D61+D62+D66+D67+D68+D71+D72+D73+D76+D77+D78</f>
        <v>459</v>
      </c>
      <c r="E84" s="330">
        <f>D84/C84</f>
        <v>0.74512987012987009</v>
      </c>
      <c r="F84" s="292"/>
      <c r="G84" s="206">
        <v>742</v>
      </c>
      <c r="H84" s="206">
        <v>494</v>
      </c>
      <c r="I84" s="207">
        <v>0.66</v>
      </c>
      <c r="J84" s="206"/>
      <c r="K84" s="129">
        <v>825</v>
      </c>
      <c r="L84" s="129">
        <v>594</v>
      </c>
      <c r="M84" s="130">
        <f>594/825</f>
        <v>0.72</v>
      </c>
      <c r="N84" s="130"/>
      <c r="O84" s="175">
        <v>806</v>
      </c>
      <c r="P84" s="175">
        <v>607</v>
      </c>
      <c r="Q84" s="176">
        <f>607/806</f>
        <v>0.75310173697270466</v>
      </c>
      <c r="R84" s="176"/>
      <c r="S84" s="373">
        <f>S56+S57+S60+S62+S66+S67+S68+S70+S71+S72+S76+S77+S78</f>
        <v>567</v>
      </c>
      <c r="T84" s="375">
        <f>T56+T57+T60+T62+T66+T67+T68+T70+T71+T72+T76+T77+T78</f>
        <v>452</v>
      </c>
      <c r="U84" s="174">
        <f>T84/S84</f>
        <v>0.7971781305114638</v>
      </c>
      <c r="V84" s="217"/>
    </row>
    <row r="85" spans="1:24" ht="13.5" thickBot="1">
      <c r="A85" s="119" t="s">
        <v>143</v>
      </c>
      <c r="B85" s="225" t="s">
        <v>97</v>
      </c>
      <c r="C85" s="293">
        <f>C54+C55+C59+C64+C65+C69+C74+C75+C79+C80+C81</f>
        <v>658</v>
      </c>
      <c r="D85" s="293">
        <f>D54+D55+D59+D64+D65+D69+D74+D75+D79+D80+D81</f>
        <v>422</v>
      </c>
      <c r="E85" s="331">
        <f>D85/C85</f>
        <v>0.64133738601823709</v>
      </c>
      <c r="F85" s="293"/>
      <c r="G85" s="208">
        <v>778</v>
      </c>
      <c r="H85" s="208">
        <v>473</v>
      </c>
      <c r="I85" s="209">
        <v>0.61</v>
      </c>
      <c r="J85" s="208"/>
      <c r="K85" s="162">
        <v>1097</v>
      </c>
      <c r="L85" s="162">
        <v>735</v>
      </c>
      <c r="M85" s="223">
        <f>735/1097</f>
        <v>0.67000911577028255</v>
      </c>
      <c r="N85" s="223"/>
      <c r="O85" s="125">
        <v>840</v>
      </c>
      <c r="P85" s="125">
        <v>646</v>
      </c>
      <c r="Q85" s="126">
        <f>646/840</f>
        <v>0.76904761904761909</v>
      </c>
      <c r="R85" s="126"/>
      <c r="S85" s="374">
        <f>S54+S55+S59+S64+S65+S69+S74+S75+S79+S80+S81</f>
        <v>714</v>
      </c>
      <c r="T85" s="376">
        <f>T54+T55+T59+T64+T65+T69+T74+T75+T79+T80+T81</f>
        <v>425</v>
      </c>
      <c r="U85" s="178">
        <f>T85/S85</f>
        <v>0.59523809523809523</v>
      </c>
      <c r="V85" s="222"/>
    </row>
    <row r="86" spans="1:24" ht="13.5" thickBot="1">
      <c r="A86" s="108"/>
      <c r="B86" s="108"/>
      <c r="C86" s="108"/>
      <c r="D86" s="108"/>
      <c r="E86" s="108"/>
      <c r="F86" s="108"/>
      <c r="G86" s="108"/>
      <c r="H86" s="108"/>
      <c r="I86" s="108"/>
      <c r="J86" s="108"/>
      <c r="K86" s="109"/>
      <c r="L86" s="109"/>
      <c r="M86" s="127"/>
      <c r="N86" s="127"/>
      <c r="O86" s="109"/>
      <c r="P86" s="109"/>
      <c r="Q86" s="127"/>
      <c r="R86" s="127"/>
      <c r="S86" s="127"/>
      <c r="T86" s="127"/>
      <c r="U86" s="127"/>
      <c r="V86" s="127"/>
    </row>
    <row r="87" spans="1:24">
      <c r="A87" s="128" t="s">
        <v>144</v>
      </c>
      <c r="B87" s="184"/>
      <c r="C87" s="300"/>
      <c r="D87" s="300">
        <f>D47</f>
        <v>691</v>
      </c>
      <c r="E87" s="300"/>
      <c r="F87" s="300"/>
      <c r="G87" s="204"/>
      <c r="H87" s="301"/>
      <c r="I87" s="173">
        <v>922</v>
      </c>
      <c r="J87" s="302"/>
      <c r="K87" s="129"/>
      <c r="L87" s="129">
        <v>1059</v>
      </c>
      <c r="M87" s="130"/>
      <c r="N87" s="202"/>
      <c r="O87" s="175"/>
      <c r="P87" s="175">
        <v>924</v>
      </c>
      <c r="Q87" s="176"/>
      <c r="R87" s="176"/>
      <c r="S87" s="362"/>
      <c r="T87" s="375">
        <f>T47</f>
        <v>704</v>
      </c>
      <c r="U87" s="174"/>
      <c r="V87" s="217"/>
    </row>
    <row r="88" spans="1:24">
      <c r="A88" s="131" t="s">
        <v>145</v>
      </c>
      <c r="B88" s="185"/>
      <c r="C88" s="158"/>
      <c r="D88" s="158">
        <f>D82</f>
        <v>881</v>
      </c>
      <c r="E88" s="158"/>
      <c r="F88" s="158"/>
      <c r="G88" s="303"/>
      <c r="H88" s="152"/>
      <c r="I88" s="268">
        <v>967</v>
      </c>
      <c r="J88" s="153"/>
      <c r="K88" s="155"/>
      <c r="L88" s="187">
        <v>1329</v>
      </c>
      <c r="M88" s="155"/>
      <c r="N88" s="203"/>
      <c r="O88" s="158"/>
      <c r="P88" s="186">
        <v>1256</v>
      </c>
      <c r="Q88" s="158"/>
      <c r="R88" s="158"/>
      <c r="S88" s="151"/>
      <c r="T88" s="377">
        <f>T82</f>
        <v>877</v>
      </c>
      <c r="U88" s="152"/>
      <c r="V88" s="153"/>
    </row>
    <row r="89" spans="1:24" ht="13.5" thickBot="1">
      <c r="A89" s="132" t="s">
        <v>146</v>
      </c>
      <c r="B89" s="185"/>
      <c r="C89" s="158"/>
      <c r="D89" s="158">
        <f>SUM(D87:D88)</f>
        <v>1572</v>
      </c>
      <c r="E89" s="158"/>
      <c r="F89" s="158"/>
      <c r="G89" s="221"/>
      <c r="H89" s="304"/>
      <c r="I89" s="177">
        <v>1889</v>
      </c>
      <c r="J89" s="305"/>
      <c r="K89" s="155"/>
      <c r="L89" s="187">
        <v>2388</v>
      </c>
      <c r="M89" s="155"/>
      <c r="N89" s="203"/>
      <c r="O89" s="158"/>
      <c r="P89" s="186">
        <f>SUM(P87:P88)</f>
        <v>2180</v>
      </c>
      <c r="Q89" s="158"/>
      <c r="R89" s="158"/>
      <c r="S89" s="339"/>
      <c r="T89" s="378">
        <f>T87+T88</f>
        <v>1581</v>
      </c>
      <c r="U89" s="304"/>
      <c r="V89" s="305"/>
    </row>
    <row r="90" spans="1:24" ht="13.5" thickBot="1">
      <c r="A90" s="115" t="s">
        <v>147</v>
      </c>
      <c r="B90" s="164"/>
      <c r="C90" s="141" t="s">
        <v>148</v>
      </c>
      <c r="D90" s="141">
        <f>D89+D19</f>
        <v>3742</v>
      </c>
      <c r="E90" s="141"/>
      <c r="F90" s="141"/>
      <c r="G90" s="143"/>
      <c r="H90" s="164" t="s">
        <v>148</v>
      </c>
      <c r="I90" s="164">
        <v>4257</v>
      </c>
      <c r="J90" s="200"/>
      <c r="K90" s="143" t="s">
        <v>148</v>
      </c>
      <c r="L90" s="164">
        <v>4836</v>
      </c>
      <c r="M90" s="133"/>
      <c r="N90" s="116"/>
      <c r="O90" s="143" t="s">
        <v>148</v>
      </c>
      <c r="P90" s="164">
        <v>5026</v>
      </c>
      <c r="Q90" s="144"/>
      <c r="R90" s="200"/>
      <c r="S90" s="143"/>
      <c r="T90" s="379">
        <f>T19+T89</f>
        <v>4229</v>
      </c>
      <c r="U90" s="164"/>
      <c r="V90" s="200"/>
    </row>
    <row r="91" spans="1:24" ht="13.5" thickBot="1">
      <c r="A91" s="122"/>
      <c r="B91" s="259"/>
      <c r="C91" s="181"/>
      <c r="D91" s="181"/>
      <c r="E91" s="181"/>
      <c r="F91" s="181"/>
      <c r="G91" s="260"/>
      <c r="H91" s="259"/>
      <c r="I91" s="259"/>
      <c r="J91" s="261"/>
      <c r="K91" s="260"/>
      <c r="L91" s="259"/>
      <c r="M91" s="262"/>
      <c r="N91" s="263"/>
      <c r="O91" s="264"/>
      <c r="P91" s="109"/>
      <c r="R91" s="109"/>
      <c r="S91" s="109"/>
      <c r="T91" s="109"/>
      <c r="U91" s="109"/>
      <c r="V91" s="109"/>
    </row>
    <row r="92" spans="1:24" ht="13.5" thickBot="1">
      <c r="A92" s="115" t="s">
        <v>149</v>
      </c>
      <c r="B92" s="133" t="s">
        <v>42</v>
      </c>
      <c r="C92" s="270" t="s">
        <v>9</v>
      </c>
      <c r="D92" s="149" t="s">
        <v>10</v>
      </c>
      <c r="E92" s="149" t="s">
        <v>11</v>
      </c>
      <c r="F92" s="271"/>
      <c r="G92" s="138" t="s">
        <v>9</v>
      </c>
      <c r="H92" s="253" t="s">
        <v>10</v>
      </c>
      <c r="I92" s="253" t="s">
        <v>11</v>
      </c>
      <c r="J92" s="195"/>
      <c r="K92" s="145" t="s">
        <v>9</v>
      </c>
      <c r="L92" s="146" t="s">
        <v>10</v>
      </c>
      <c r="M92" s="146" t="s">
        <v>11</v>
      </c>
      <c r="N92" s="193"/>
      <c r="O92" s="265" t="s">
        <v>9</v>
      </c>
      <c r="P92" s="266" t="s">
        <v>10</v>
      </c>
      <c r="Q92" s="266" t="s">
        <v>11</v>
      </c>
      <c r="R92" s="267"/>
      <c r="S92" s="342" t="s">
        <v>13</v>
      </c>
      <c r="T92" s="253" t="s">
        <v>10</v>
      </c>
      <c r="U92" s="332" t="s">
        <v>11</v>
      </c>
      <c r="V92" s="343" t="s">
        <v>12</v>
      </c>
    </row>
    <row r="93" spans="1:24">
      <c r="A93" s="93" t="s">
        <v>150</v>
      </c>
      <c r="B93" s="93" t="s">
        <v>151</v>
      </c>
      <c r="C93" s="272">
        <v>219</v>
      </c>
      <c r="D93" s="273">
        <v>159</v>
      </c>
      <c r="E93" s="274">
        <f>D93/C93</f>
        <v>0.72602739726027399</v>
      </c>
      <c r="F93" s="275"/>
      <c r="G93" s="97">
        <v>187</v>
      </c>
      <c r="H93" s="97">
        <v>117</v>
      </c>
      <c r="I93" s="97">
        <v>62</v>
      </c>
      <c r="J93" s="97"/>
      <c r="K93" s="98" t="s">
        <v>114</v>
      </c>
      <c r="L93" s="99"/>
      <c r="M93" s="99"/>
      <c r="N93" s="212"/>
      <c r="O93" s="158"/>
      <c r="P93" s="158"/>
      <c r="Q93" s="159"/>
      <c r="R93" s="169"/>
      <c r="S93" s="380"/>
      <c r="T93" s="381"/>
      <c r="U93" s="382"/>
      <c r="V93" s="383"/>
    </row>
    <row r="94" spans="1:24" ht="13.5" thickBot="1">
      <c r="A94" s="190" t="s">
        <v>152</v>
      </c>
      <c r="B94" s="190" t="s">
        <v>153</v>
      </c>
      <c r="C94" s="276">
        <v>136</v>
      </c>
      <c r="D94" s="277">
        <v>100</v>
      </c>
      <c r="E94" s="278">
        <f>D94/C94</f>
        <v>0.73529411764705888</v>
      </c>
      <c r="F94" s="279"/>
      <c r="G94" s="117">
        <v>206</v>
      </c>
      <c r="H94" s="117">
        <v>128</v>
      </c>
      <c r="I94" s="117">
        <v>62</v>
      </c>
      <c r="J94" s="117"/>
      <c r="K94" s="218">
        <v>257</v>
      </c>
      <c r="L94" s="219">
        <v>176</v>
      </c>
      <c r="M94" s="219">
        <v>68</v>
      </c>
      <c r="N94" s="220"/>
      <c r="O94" s="170">
        <v>232</v>
      </c>
      <c r="P94" s="170">
        <v>178</v>
      </c>
      <c r="Q94" s="171">
        <f>178/232</f>
        <v>0.76724137931034486</v>
      </c>
      <c r="R94" s="172"/>
      <c r="S94" s="355">
        <v>148</v>
      </c>
      <c r="T94" s="356">
        <v>94</v>
      </c>
      <c r="U94" s="384">
        <f>T94/S94</f>
        <v>0.63513513513513509</v>
      </c>
      <c r="V94" s="358"/>
    </row>
    <row r="95" spans="1:24" ht="13.5" thickBot="1">
      <c r="A95" s="92"/>
      <c r="B95" s="92"/>
      <c r="C95" s="92"/>
      <c r="D95" s="92"/>
      <c r="E95" s="92"/>
      <c r="F95" s="92"/>
      <c r="G95" s="92"/>
      <c r="H95" s="92"/>
      <c r="I95" s="92"/>
      <c r="J95" s="92"/>
      <c r="K95" s="92"/>
      <c r="L95" s="92"/>
      <c r="M95" s="92"/>
      <c r="N95" s="92"/>
      <c r="O95" s="92"/>
      <c r="P95" s="180"/>
    </row>
    <row r="96" spans="1:24" ht="13.5" thickBot="1">
      <c r="A96" s="115" t="s">
        <v>154</v>
      </c>
      <c r="B96" s="133" t="s">
        <v>155</v>
      </c>
      <c r="C96" s="124" t="s">
        <v>156</v>
      </c>
      <c r="D96" s="124">
        <v>184</v>
      </c>
      <c r="E96" s="124"/>
      <c r="F96" s="124"/>
      <c r="G96" s="123"/>
      <c r="H96" s="123" t="s">
        <v>148</v>
      </c>
      <c r="I96" s="123">
        <v>188</v>
      </c>
      <c r="J96" s="123"/>
      <c r="K96" s="134"/>
      <c r="L96" s="134" t="s">
        <v>148</v>
      </c>
      <c r="M96" s="134">
        <v>203</v>
      </c>
      <c r="N96" s="134"/>
      <c r="O96" s="124"/>
      <c r="P96" s="124" t="s">
        <v>148</v>
      </c>
      <c r="Q96" s="141">
        <v>184</v>
      </c>
      <c r="R96" s="141"/>
      <c r="S96" s="138" t="s">
        <v>148</v>
      </c>
      <c r="T96" s="138">
        <v>177</v>
      </c>
      <c r="U96" s="138"/>
      <c r="V96" s="216"/>
      <c r="W96" s="188"/>
      <c r="X96" s="188"/>
    </row>
    <row r="97" spans="1:24" ht="13.5" thickBot="1">
      <c r="A97" s="115" t="s">
        <v>157</v>
      </c>
      <c r="B97" s="133" t="s">
        <v>158</v>
      </c>
      <c r="C97" s="124" t="s">
        <v>156</v>
      </c>
      <c r="D97" s="124">
        <v>20</v>
      </c>
      <c r="E97" s="124"/>
      <c r="F97" s="124"/>
      <c r="G97" s="123"/>
      <c r="H97" s="123" t="s">
        <v>148</v>
      </c>
      <c r="I97" s="123">
        <v>19</v>
      </c>
      <c r="J97" s="123"/>
      <c r="K97" s="134"/>
      <c r="L97" s="134" t="s">
        <v>148</v>
      </c>
      <c r="M97" s="134">
        <v>25</v>
      </c>
      <c r="N97" s="134"/>
      <c r="O97" s="124"/>
      <c r="P97" s="124" t="s">
        <v>148</v>
      </c>
      <c r="Q97" s="141">
        <v>25</v>
      </c>
      <c r="R97" s="141"/>
      <c r="S97" s="138" t="s">
        <v>156</v>
      </c>
      <c r="T97" s="138"/>
      <c r="U97" s="138"/>
      <c r="V97" s="216"/>
      <c r="W97" s="188"/>
      <c r="X97" s="188"/>
    </row>
    <row r="98" spans="1:24" ht="13.5" thickBot="1">
      <c r="A98" s="92"/>
      <c r="B98" s="92"/>
      <c r="C98" s="92"/>
      <c r="D98" s="92"/>
      <c r="E98" s="92"/>
      <c r="F98" s="92"/>
      <c r="G98" s="92"/>
      <c r="H98" s="92"/>
      <c r="I98" s="92"/>
      <c r="J98" s="92"/>
      <c r="K98" s="92"/>
      <c r="L98" s="92"/>
      <c r="M98" s="92"/>
      <c r="N98" s="92"/>
      <c r="W98" s="188"/>
      <c r="X98" s="188"/>
    </row>
    <row r="99" spans="1:24" ht="13.5" thickBot="1">
      <c r="A99" s="115" t="s">
        <v>159</v>
      </c>
      <c r="B99" s="144"/>
      <c r="C99" s="189" t="s">
        <v>156</v>
      </c>
      <c r="D99" s="189" t="s">
        <v>160</v>
      </c>
      <c r="E99" s="205"/>
      <c r="F99" s="205"/>
      <c r="G99" s="205"/>
      <c r="H99" s="189" t="s">
        <v>148</v>
      </c>
      <c r="I99" s="146">
        <v>201</v>
      </c>
      <c r="J99" s="205"/>
      <c r="K99" s="134"/>
      <c r="L99" s="134" t="s">
        <v>148</v>
      </c>
      <c r="M99" s="134">
        <v>222</v>
      </c>
      <c r="N99" s="134"/>
      <c r="O99" s="189"/>
      <c r="P99" s="189" t="s">
        <v>148</v>
      </c>
      <c r="Q99" s="189">
        <v>213</v>
      </c>
      <c r="R99" s="189"/>
      <c r="S99" s="189" t="s">
        <v>156</v>
      </c>
      <c r="T99" s="189">
        <v>208</v>
      </c>
      <c r="U99" s="189"/>
      <c r="V99" s="385"/>
      <c r="W99" s="188"/>
      <c r="X99" s="188"/>
    </row>
    <row r="100" spans="1:24">
      <c r="D100" s="95" t="s">
        <v>161</v>
      </c>
      <c r="W100" s="188"/>
      <c r="X100" s="188"/>
    </row>
    <row r="101" spans="1:24">
      <c r="A101" s="92"/>
      <c r="B101" s="108"/>
      <c r="C101" s="108"/>
      <c r="D101" s="108"/>
      <c r="E101" s="108"/>
      <c r="F101" s="108"/>
      <c r="G101" s="108"/>
      <c r="H101" s="108"/>
      <c r="I101" s="108"/>
      <c r="J101" s="108"/>
      <c r="K101" s="108"/>
      <c r="L101" s="92"/>
      <c r="M101" s="108"/>
      <c r="N101" s="108"/>
    </row>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2"/>
  <sheetViews>
    <sheetView workbookViewId="0">
      <selection activeCell="A18" sqref="A18"/>
    </sheetView>
  </sheetViews>
  <sheetFormatPr defaultColWidth="8.7109375" defaultRowHeight="14.45"/>
  <cols>
    <col min="1" max="1" width="12.28515625" customWidth="1"/>
    <col min="3" max="9" width="10.140625" customWidth="1"/>
    <col min="10" max="10" width="11.85546875" customWidth="1"/>
    <col min="11" max="11" width="14.5703125" customWidth="1"/>
    <col min="12" max="12" width="12.140625" style="60" customWidth="1"/>
    <col min="13" max="14" width="12.140625" customWidth="1"/>
    <col min="15" max="15" width="12.28515625" customWidth="1"/>
    <col min="16" max="17" width="11.28515625" customWidth="1"/>
    <col min="18" max="18" width="12" customWidth="1"/>
  </cols>
  <sheetData>
    <row r="1" spans="1:18">
      <c r="A1" s="24" t="s">
        <v>162</v>
      </c>
      <c r="L1"/>
      <c r="M1" s="60"/>
    </row>
    <row r="2" spans="1:18" ht="15" thickBot="1"/>
    <row r="3" spans="1:18" ht="15" thickBot="1">
      <c r="A3" s="49"/>
      <c r="B3" s="50"/>
      <c r="C3" s="51"/>
      <c r="D3" s="2"/>
      <c r="E3" s="13" t="s">
        <v>3</v>
      </c>
      <c r="F3" s="315"/>
      <c r="G3" s="246"/>
      <c r="H3" s="246" t="s">
        <v>4</v>
      </c>
      <c r="I3" s="246"/>
      <c r="J3" s="75"/>
      <c r="K3" s="15" t="s">
        <v>5</v>
      </c>
      <c r="L3" s="76"/>
      <c r="M3" s="77"/>
      <c r="N3" s="29" t="s">
        <v>6</v>
      </c>
      <c r="O3" s="29"/>
      <c r="P3" s="90"/>
      <c r="Q3" s="27" t="s">
        <v>7</v>
      </c>
      <c r="R3" s="251"/>
    </row>
    <row r="4" spans="1:18" ht="15" thickBot="1">
      <c r="A4" s="30" t="s">
        <v>163</v>
      </c>
      <c r="B4" s="1"/>
      <c r="C4" s="56"/>
      <c r="D4" s="2" t="s">
        <v>13</v>
      </c>
      <c r="E4" s="13" t="s">
        <v>10</v>
      </c>
      <c r="F4" s="315" t="s">
        <v>11</v>
      </c>
      <c r="G4" s="247" t="s">
        <v>13</v>
      </c>
      <c r="H4" s="247" t="s">
        <v>10</v>
      </c>
      <c r="I4" s="247" t="s">
        <v>11</v>
      </c>
      <c r="J4" s="19" t="s">
        <v>13</v>
      </c>
      <c r="K4" s="20" t="s">
        <v>10</v>
      </c>
      <c r="L4" s="62" t="s">
        <v>11</v>
      </c>
      <c r="M4" s="52" t="s">
        <v>13</v>
      </c>
      <c r="N4" s="31" t="s">
        <v>10</v>
      </c>
      <c r="O4" s="32" t="s">
        <v>11</v>
      </c>
      <c r="P4" s="2" t="s">
        <v>13</v>
      </c>
      <c r="Q4" s="3" t="s">
        <v>10</v>
      </c>
      <c r="R4" s="71" t="s">
        <v>11</v>
      </c>
    </row>
    <row r="5" spans="1:18">
      <c r="A5" s="9" t="s">
        <v>164</v>
      </c>
      <c r="B5" s="6" t="s">
        <v>165</v>
      </c>
      <c r="C5" s="6"/>
      <c r="D5" s="316">
        <v>116</v>
      </c>
      <c r="E5" s="317">
        <v>108</v>
      </c>
      <c r="F5" s="318">
        <f>E5/D5</f>
        <v>0.93103448275862066</v>
      </c>
      <c r="G5" s="307">
        <v>98</v>
      </c>
      <c r="H5" s="308">
        <v>90</v>
      </c>
      <c r="I5" s="309">
        <v>0.92</v>
      </c>
      <c r="J5" s="16">
        <v>137</v>
      </c>
      <c r="K5" s="16">
        <v>129</v>
      </c>
      <c r="L5" s="59">
        <f>129/137</f>
        <v>0.94160583941605835</v>
      </c>
      <c r="M5" s="53">
        <v>109</v>
      </c>
      <c r="N5" s="33">
        <v>107</v>
      </c>
      <c r="O5" s="34">
        <f>107/109</f>
        <v>0.98165137614678899</v>
      </c>
      <c r="P5" s="7">
        <v>125</v>
      </c>
      <c r="Q5" s="8">
        <v>103</v>
      </c>
      <c r="R5" s="72">
        <f>103/125</f>
        <v>0.82399999999999995</v>
      </c>
    </row>
    <row r="6" spans="1:18">
      <c r="A6" s="9" t="s">
        <v>166</v>
      </c>
      <c r="B6" s="6" t="s">
        <v>167</v>
      </c>
      <c r="C6" s="6"/>
      <c r="D6" s="7">
        <v>47</v>
      </c>
      <c r="E6" s="8">
        <v>45</v>
      </c>
      <c r="F6" s="319">
        <f t="shared" ref="F6:F21" si="0">E6/D6</f>
        <v>0.95744680851063835</v>
      </c>
      <c r="G6" s="310">
        <v>51</v>
      </c>
      <c r="H6" s="248">
        <v>50</v>
      </c>
      <c r="I6" s="311">
        <v>0.98</v>
      </c>
      <c r="J6" s="16">
        <v>51</v>
      </c>
      <c r="K6" s="16">
        <v>47</v>
      </c>
      <c r="L6" s="59">
        <f>47/51</f>
        <v>0.92156862745098034</v>
      </c>
      <c r="M6" s="53"/>
      <c r="N6" s="33"/>
      <c r="O6" s="34"/>
      <c r="P6" s="7"/>
      <c r="Q6" s="8"/>
      <c r="R6" s="72"/>
    </row>
    <row r="7" spans="1:18">
      <c r="A7" s="9" t="s">
        <v>168</v>
      </c>
      <c r="B7" s="6" t="s">
        <v>169</v>
      </c>
      <c r="C7" s="6"/>
      <c r="D7" s="7">
        <v>35</v>
      </c>
      <c r="E7" s="8">
        <v>31</v>
      </c>
      <c r="F7" s="319">
        <f t="shared" si="0"/>
        <v>0.88571428571428568</v>
      </c>
      <c r="G7" s="310">
        <v>42</v>
      </c>
      <c r="H7" s="248">
        <v>40</v>
      </c>
      <c r="I7" s="311">
        <v>0.95</v>
      </c>
      <c r="J7" s="16">
        <v>48</v>
      </c>
      <c r="K7" s="16">
        <v>44</v>
      </c>
      <c r="L7" s="59">
        <f>44/48</f>
        <v>0.91666666666666663</v>
      </c>
      <c r="M7" s="53">
        <v>55</v>
      </c>
      <c r="N7" s="33">
        <v>51</v>
      </c>
      <c r="O7" s="34">
        <f>51/55</f>
        <v>0.92727272727272725</v>
      </c>
      <c r="P7" s="7">
        <v>47</v>
      </c>
      <c r="Q7" s="8">
        <v>42</v>
      </c>
      <c r="R7" s="72">
        <f>42/47</f>
        <v>0.8936170212765957</v>
      </c>
    </row>
    <row r="8" spans="1:18">
      <c r="A8" s="9" t="s">
        <v>170</v>
      </c>
      <c r="B8" s="6" t="s">
        <v>171</v>
      </c>
      <c r="C8" s="6"/>
      <c r="D8" s="7">
        <v>94</v>
      </c>
      <c r="E8" s="8">
        <v>90</v>
      </c>
      <c r="F8" s="319">
        <f t="shared" si="0"/>
        <v>0.95744680851063835</v>
      </c>
      <c r="G8" s="310">
        <v>88</v>
      </c>
      <c r="H8" s="248">
        <v>75</v>
      </c>
      <c r="I8" s="311">
        <f>75/88</f>
        <v>0.85227272727272729</v>
      </c>
      <c r="J8" s="16">
        <v>78</v>
      </c>
      <c r="K8" s="16">
        <v>58</v>
      </c>
      <c r="L8" s="59">
        <f>58/78</f>
        <v>0.74358974358974361</v>
      </c>
      <c r="M8" s="53">
        <v>90</v>
      </c>
      <c r="N8" s="33">
        <v>69</v>
      </c>
      <c r="O8" s="34">
        <f>69/90</f>
        <v>0.76666666666666672</v>
      </c>
      <c r="P8" s="7">
        <v>80</v>
      </c>
      <c r="Q8" s="8">
        <v>60</v>
      </c>
      <c r="R8" s="72">
        <f>60/80</f>
        <v>0.75</v>
      </c>
    </row>
    <row r="9" spans="1:18">
      <c r="A9" s="9" t="s">
        <v>172</v>
      </c>
      <c r="B9" s="6" t="s">
        <v>173</v>
      </c>
      <c r="C9" s="6"/>
      <c r="D9" s="7">
        <v>71</v>
      </c>
      <c r="E9" s="8">
        <v>52</v>
      </c>
      <c r="F9" s="319">
        <f t="shared" si="0"/>
        <v>0.73239436619718312</v>
      </c>
      <c r="G9" s="310">
        <v>89</v>
      </c>
      <c r="H9" s="248">
        <v>72</v>
      </c>
      <c r="I9" s="311">
        <v>0.81</v>
      </c>
      <c r="J9" s="16">
        <v>79</v>
      </c>
      <c r="K9" s="16">
        <v>52</v>
      </c>
      <c r="L9" s="59">
        <f>52/79</f>
        <v>0.65822784810126578</v>
      </c>
      <c r="M9" s="53">
        <v>70</v>
      </c>
      <c r="N9" s="33">
        <v>51</v>
      </c>
      <c r="O9" s="34">
        <f>51/70</f>
        <v>0.72857142857142854</v>
      </c>
      <c r="P9" s="4">
        <v>31</v>
      </c>
      <c r="Q9" s="5">
        <v>25</v>
      </c>
      <c r="R9" s="72">
        <f>25/31</f>
        <v>0.80645161290322576</v>
      </c>
    </row>
    <row r="10" spans="1:18">
      <c r="A10" s="9" t="s">
        <v>174</v>
      </c>
      <c r="B10" s="6" t="s">
        <v>175</v>
      </c>
      <c r="C10" s="6"/>
      <c r="D10" s="7">
        <v>68</v>
      </c>
      <c r="E10" s="8">
        <v>55</v>
      </c>
      <c r="F10" s="319">
        <f t="shared" si="0"/>
        <v>0.80882352941176472</v>
      </c>
      <c r="G10" s="310"/>
      <c r="H10" s="248"/>
      <c r="I10" s="311"/>
      <c r="J10" s="16"/>
      <c r="K10" s="16"/>
      <c r="L10" s="59"/>
      <c r="M10" s="53"/>
      <c r="N10" s="33"/>
      <c r="O10" s="34"/>
      <c r="P10" s="4"/>
      <c r="Q10" s="5"/>
      <c r="R10" s="72"/>
    </row>
    <row r="11" spans="1:18">
      <c r="A11" s="9" t="s">
        <v>176</v>
      </c>
      <c r="B11" s="6" t="s">
        <v>167</v>
      </c>
      <c r="C11" s="6"/>
      <c r="D11" s="7">
        <v>21</v>
      </c>
      <c r="E11" s="8">
        <v>21</v>
      </c>
      <c r="F11" s="319">
        <f t="shared" si="0"/>
        <v>1</v>
      </c>
      <c r="G11" s="310">
        <v>20</v>
      </c>
      <c r="H11" s="248">
        <v>20</v>
      </c>
      <c r="I11" s="311">
        <v>1</v>
      </c>
      <c r="J11" s="16">
        <v>17</v>
      </c>
      <c r="K11" s="16">
        <v>17</v>
      </c>
      <c r="L11" s="59">
        <v>1</v>
      </c>
      <c r="M11" s="53">
        <v>19</v>
      </c>
      <c r="N11" s="33">
        <v>17</v>
      </c>
      <c r="O11" s="34">
        <f>17/19</f>
        <v>0.89473684210526316</v>
      </c>
      <c r="P11" s="4">
        <v>22</v>
      </c>
      <c r="Q11" s="5">
        <v>20</v>
      </c>
      <c r="R11" s="72">
        <f>20/22</f>
        <v>0.90909090909090906</v>
      </c>
    </row>
    <row r="12" spans="1:18">
      <c r="A12" s="9" t="s">
        <v>177</v>
      </c>
      <c r="B12" s="6" t="s">
        <v>178</v>
      </c>
      <c r="C12" s="6"/>
      <c r="D12" s="7">
        <v>22</v>
      </c>
      <c r="E12" s="8">
        <v>21</v>
      </c>
      <c r="F12" s="319">
        <f t="shared" si="0"/>
        <v>0.95454545454545459</v>
      </c>
      <c r="G12" s="310">
        <v>20</v>
      </c>
      <c r="H12" s="248">
        <v>20</v>
      </c>
      <c r="I12" s="311">
        <v>1</v>
      </c>
      <c r="J12" s="16">
        <v>17</v>
      </c>
      <c r="K12" s="16">
        <v>17</v>
      </c>
      <c r="L12" s="59">
        <v>1</v>
      </c>
      <c r="M12" s="53">
        <v>18</v>
      </c>
      <c r="N12" s="33">
        <v>17</v>
      </c>
      <c r="O12" s="34">
        <f>17/18</f>
        <v>0.94444444444444442</v>
      </c>
      <c r="P12" s="4">
        <v>19</v>
      </c>
      <c r="Q12" s="5">
        <v>19</v>
      </c>
      <c r="R12" s="72">
        <v>1</v>
      </c>
    </row>
    <row r="13" spans="1:18">
      <c r="A13" s="9" t="s">
        <v>179</v>
      </c>
      <c r="B13" s="6" t="s">
        <v>171</v>
      </c>
      <c r="C13" s="6"/>
      <c r="D13" s="7">
        <v>11</v>
      </c>
      <c r="E13" s="8">
        <v>11</v>
      </c>
      <c r="F13" s="319">
        <f t="shared" si="0"/>
        <v>1</v>
      </c>
      <c r="G13" s="310">
        <v>21</v>
      </c>
      <c r="H13" s="248">
        <v>17</v>
      </c>
      <c r="I13" s="311">
        <v>0.81</v>
      </c>
      <c r="J13" s="16">
        <v>20</v>
      </c>
      <c r="K13" s="16">
        <v>16</v>
      </c>
      <c r="L13" s="59">
        <f>16/20</f>
        <v>0.8</v>
      </c>
      <c r="M13" s="53">
        <v>18</v>
      </c>
      <c r="N13" s="33">
        <v>11</v>
      </c>
      <c r="O13" s="34">
        <f>11/18</f>
        <v>0.61111111111111116</v>
      </c>
      <c r="P13" s="4">
        <v>17</v>
      </c>
      <c r="Q13" s="5">
        <v>10</v>
      </c>
      <c r="R13" s="72">
        <f>10/17</f>
        <v>0.58823529411764708</v>
      </c>
    </row>
    <row r="14" spans="1:18">
      <c r="A14" s="9" t="s">
        <v>180</v>
      </c>
      <c r="B14" s="6" t="s">
        <v>181</v>
      </c>
      <c r="C14" s="6"/>
      <c r="D14" s="7">
        <v>9</v>
      </c>
      <c r="E14" s="8">
        <v>7</v>
      </c>
      <c r="F14" s="319">
        <f t="shared" si="0"/>
        <v>0.77777777777777779</v>
      </c>
      <c r="G14" s="310">
        <v>13</v>
      </c>
      <c r="H14" s="248">
        <v>9</v>
      </c>
      <c r="I14" s="311">
        <v>0.69</v>
      </c>
      <c r="J14" s="16">
        <v>6</v>
      </c>
      <c r="K14" s="16">
        <v>6</v>
      </c>
      <c r="L14" s="59">
        <v>1</v>
      </c>
      <c r="M14" s="53">
        <v>5</v>
      </c>
      <c r="N14" s="33">
        <v>5</v>
      </c>
      <c r="O14" s="34">
        <v>1</v>
      </c>
      <c r="P14" s="4">
        <v>6</v>
      </c>
      <c r="Q14" s="5">
        <v>6</v>
      </c>
      <c r="R14" s="72">
        <v>1</v>
      </c>
    </row>
    <row r="15" spans="1:18">
      <c r="A15" s="9" t="s">
        <v>182</v>
      </c>
      <c r="B15" s="6" t="s">
        <v>175</v>
      </c>
      <c r="C15" s="6"/>
      <c r="D15" s="7">
        <v>17</v>
      </c>
      <c r="E15" s="8">
        <v>15</v>
      </c>
      <c r="F15" s="319">
        <f t="shared" si="0"/>
        <v>0.88235294117647056</v>
      </c>
      <c r="G15" s="310"/>
      <c r="H15" s="248"/>
      <c r="I15" s="311"/>
      <c r="J15" s="16"/>
      <c r="K15" s="16"/>
      <c r="L15" s="59"/>
      <c r="M15" s="53"/>
      <c r="N15" s="33"/>
      <c r="O15" s="34"/>
      <c r="P15" s="4"/>
      <c r="Q15" s="5"/>
      <c r="R15" s="72"/>
    </row>
    <row r="16" spans="1:18">
      <c r="A16" s="9" t="s">
        <v>183</v>
      </c>
      <c r="B16" s="6" t="s">
        <v>184</v>
      </c>
      <c r="C16" s="6"/>
      <c r="D16" s="7">
        <v>20</v>
      </c>
      <c r="E16" s="8">
        <v>19</v>
      </c>
      <c r="F16" s="319">
        <f t="shared" si="0"/>
        <v>0.95</v>
      </c>
      <c r="G16" s="310">
        <v>8</v>
      </c>
      <c r="H16" s="248">
        <v>8</v>
      </c>
      <c r="I16" s="311">
        <v>1</v>
      </c>
      <c r="J16" s="16">
        <v>2</v>
      </c>
      <c r="K16" s="16">
        <v>2</v>
      </c>
      <c r="L16" s="59">
        <v>1</v>
      </c>
      <c r="M16" s="53">
        <v>8</v>
      </c>
      <c r="N16" s="33">
        <v>8</v>
      </c>
      <c r="O16" s="34">
        <v>1</v>
      </c>
      <c r="P16" s="4">
        <v>13</v>
      </c>
      <c r="Q16" s="5">
        <v>11</v>
      </c>
      <c r="R16" s="72">
        <f>11/13</f>
        <v>0.84615384615384615</v>
      </c>
    </row>
    <row r="17" spans="1:18">
      <c r="A17" s="9" t="s">
        <v>185</v>
      </c>
      <c r="B17" s="6" t="s">
        <v>186</v>
      </c>
      <c r="C17" s="6"/>
      <c r="D17" s="7">
        <v>67</v>
      </c>
      <c r="E17" s="8">
        <v>58</v>
      </c>
      <c r="F17" s="319">
        <f t="shared" si="0"/>
        <v>0.86567164179104472</v>
      </c>
      <c r="G17" s="310">
        <v>90</v>
      </c>
      <c r="H17" s="248">
        <v>80</v>
      </c>
      <c r="I17" s="311">
        <v>0.88</v>
      </c>
      <c r="J17" s="16">
        <v>75</v>
      </c>
      <c r="K17" s="16">
        <v>53</v>
      </c>
      <c r="L17" s="59">
        <v>0.7</v>
      </c>
      <c r="M17" s="53" t="s">
        <v>187</v>
      </c>
      <c r="N17" s="33"/>
      <c r="O17" s="34"/>
      <c r="P17" s="4"/>
      <c r="Q17" s="5"/>
      <c r="R17" s="72"/>
    </row>
    <row r="18" spans="1:18">
      <c r="A18" s="9" t="s">
        <v>188</v>
      </c>
      <c r="B18" s="6" t="s">
        <v>186</v>
      </c>
      <c r="C18" s="6"/>
      <c r="D18" s="7">
        <v>20</v>
      </c>
      <c r="E18" s="8">
        <v>16</v>
      </c>
      <c r="F18" s="319">
        <f t="shared" si="0"/>
        <v>0.8</v>
      </c>
      <c r="G18" s="310">
        <v>13</v>
      </c>
      <c r="H18" s="248">
        <v>10</v>
      </c>
      <c r="I18" s="311">
        <v>0.77</v>
      </c>
      <c r="J18" s="16">
        <v>10</v>
      </c>
      <c r="K18" s="16">
        <v>9</v>
      </c>
      <c r="L18" s="87">
        <v>0.9</v>
      </c>
      <c r="M18" s="53"/>
      <c r="N18" s="33"/>
      <c r="O18" s="34"/>
      <c r="P18" s="4"/>
      <c r="Q18" s="5"/>
      <c r="R18" s="72"/>
    </row>
    <row r="19" spans="1:18">
      <c r="A19" s="9" t="s">
        <v>189</v>
      </c>
      <c r="B19" s="6" t="s">
        <v>167</v>
      </c>
      <c r="C19" s="306"/>
      <c r="D19" s="7">
        <v>9</v>
      </c>
      <c r="E19" s="8">
        <v>8</v>
      </c>
      <c r="F19" s="319">
        <f t="shared" si="0"/>
        <v>0.88888888888888884</v>
      </c>
      <c r="G19" s="310">
        <v>8</v>
      </c>
      <c r="H19" s="248">
        <v>8</v>
      </c>
      <c r="I19" s="311">
        <v>0.08</v>
      </c>
      <c r="J19" s="16">
        <v>5</v>
      </c>
      <c r="K19" s="16">
        <v>5</v>
      </c>
      <c r="L19" s="59">
        <v>1</v>
      </c>
      <c r="M19" s="53">
        <v>10</v>
      </c>
      <c r="N19" s="33">
        <v>9</v>
      </c>
      <c r="O19" s="34">
        <f>9/10</f>
        <v>0.9</v>
      </c>
      <c r="P19" s="7">
        <v>7</v>
      </c>
      <c r="Q19" s="8">
        <v>7</v>
      </c>
      <c r="R19" s="72">
        <v>1</v>
      </c>
    </row>
    <row r="20" spans="1:18">
      <c r="A20" s="9" t="s">
        <v>190</v>
      </c>
      <c r="B20" s="6" t="s">
        <v>178</v>
      </c>
      <c r="C20" s="6"/>
      <c r="D20" s="7">
        <v>8</v>
      </c>
      <c r="E20" s="8">
        <v>7</v>
      </c>
      <c r="F20" s="319">
        <f t="shared" si="0"/>
        <v>0.875</v>
      </c>
      <c r="G20" s="310">
        <v>7</v>
      </c>
      <c r="H20" s="248">
        <v>7</v>
      </c>
      <c r="I20" s="311">
        <v>7.0000000000000007E-2</v>
      </c>
      <c r="J20" s="16">
        <v>5</v>
      </c>
      <c r="K20" s="16">
        <v>5</v>
      </c>
      <c r="L20" s="59">
        <v>1</v>
      </c>
      <c r="M20" s="53">
        <v>10</v>
      </c>
      <c r="N20" s="33">
        <v>10</v>
      </c>
      <c r="O20" s="34">
        <v>1</v>
      </c>
      <c r="P20" s="7">
        <v>6</v>
      </c>
      <c r="Q20" s="8">
        <v>6</v>
      </c>
      <c r="R20" s="72">
        <v>1</v>
      </c>
    </row>
    <row r="21" spans="1:18" ht="15" thickBot="1">
      <c r="A21" s="9" t="s">
        <v>191</v>
      </c>
      <c r="B21" s="6" t="s">
        <v>192</v>
      </c>
      <c r="C21" s="6"/>
      <c r="D21" s="320">
        <v>5</v>
      </c>
      <c r="E21" s="321">
        <v>5</v>
      </c>
      <c r="F21" s="322">
        <f t="shared" si="0"/>
        <v>1</v>
      </c>
      <c r="G21" s="312">
        <v>5</v>
      </c>
      <c r="H21" s="313">
        <v>5</v>
      </c>
      <c r="I21" s="314">
        <v>1</v>
      </c>
      <c r="J21" s="16">
        <v>2</v>
      </c>
      <c r="K21" s="16">
        <v>2</v>
      </c>
      <c r="L21" s="59">
        <v>1</v>
      </c>
      <c r="M21" s="53">
        <v>3</v>
      </c>
      <c r="N21" s="33">
        <v>3</v>
      </c>
      <c r="O21" s="34">
        <v>1</v>
      </c>
      <c r="P21" s="7">
        <v>2</v>
      </c>
      <c r="Q21" s="8">
        <v>2</v>
      </c>
      <c r="R21" s="72">
        <v>1</v>
      </c>
    </row>
    <row r="22" spans="1:18" ht="15" thickBot="1">
      <c r="A22" s="11"/>
      <c r="B22" s="35" t="s">
        <v>42</v>
      </c>
      <c r="C22" s="58"/>
      <c r="D22" s="14">
        <f>SUM(D5:D21)</f>
        <v>640</v>
      </c>
      <c r="E22" s="14">
        <f>SUM(E5:E21)</f>
        <v>569</v>
      </c>
      <c r="F22" s="323">
        <f>(SUM(F5:F21)/17)</f>
        <v>0.89806452854604513</v>
      </c>
      <c r="G22" s="249">
        <f>SUM(G5:G21)</f>
        <v>573</v>
      </c>
      <c r="H22" s="249">
        <f>SUM(H5:H21)</f>
        <v>511</v>
      </c>
      <c r="I22" s="250">
        <v>0.89</v>
      </c>
      <c r="J22" s="47">
        <f>SUM(J5:J21)</f>
        <v>552</v>
      </c>
      <c r="K22" s="23">
        <f>SUM(K5:K21)</f>
        <v>462</v>
      </c>
      <c r="L22" s="63">
        <f>462/552</f>
        <v>0.83695652173913049</v>
      </c>
      <c r="M22" s="54">
        <v>670</v>
      </c>
      <c r="N22" s="25">
        <v>599</v>
      </c>
      <c r="O22" s="36">
        <f>599/670</f>
        <v>0.89402985074626862</v>
      </c>
      <c r="P22" s="252">
        <v>526</v>
      </c>
      <c r="Q22" s="14">
        <v>439</v>
      </c>
      <c r="R22" s="74">
        <f>439/526</f>
        <v>0.83460076045627374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0"/>
  <sheetViews>
    <sheetView workbookViewId="0">
      <selection activeCell="M26" sqref="M26"/>
    </sheetView>
  </sheetViews>
  <sheetFormatPr defaultColWidth="8.7109375" defaultRowHeight="14.45"/>
  <cols>
    <col min="1" max="1" width="11.85546875" customWidth="1"/>
    <col min="10" max="10" width="10.28515625" customWidth="1"/>
    <col min="13" max="13" width="10.42578125" customWidth="1"/>
    <col min="15" max="15" width="10" customWidth="1"/>
  </cols>
  <sheetData>
    <row r="1" spans="1:18" s="24" customFormat="1">
      <c r="A1" s="24" t="s">
        <v>162</v>
      </c>
    </row>
    <row r="2" spans="1:18" s="24" customFormat="1" ht="15" thickBot="1"/>
    <row r="3" spans="1:18" s="24" customFormat="1" ht="15" thickBot="1">
      <c r="A3" s="49"/>
      <c r="B3" s="49"/>
      <c r="C3" s="51"/>
      <c r="D3" s="2"/>
      <c r="E3" s="13" t="s">
        <v>3</v>
      </c>
      <c r="F3" s="315"/>
      <c r="G3" s="229"/>
      <c r="H3" s="229" t="s">
        <v>4</v>
      </c>
      <c r="I3" s="229"/>
      <c r="J3" s="43"/>
      <c r="K3" s="44" t="s">
        <v>5</v>
      </c>
      <c r="L3" s="61"/>
      <c r="M3" s="55"/>
      <c r="N3" s="55" t="s">
        <v>6</v>
      </c>
      <c r="O3" s="55"/>
      <c r="P3" s="66"/>
      <c r="Q3" s="66" t="s">
        <v>7</v>
      </c>
      <c r="R3" s="70"/>
    </row>
    <row r="4" spans="1:18" ht="15" thickBot="1">
      <c r="A4" s="12" t="s">
        <v>193</v>
      </c>
      <c r="B4" s="30"/>
      <c r="C4" s="64"/>
      <c r="D4" s="252" t="s">
        <v>13</v>
      </c>
      <c r="E4" s="14" t="s">
        <v>10</v>
      </c>
      <c r="F4" s="324" t="s">
        <v>11</v>
      </c>
      <c r="G4" s="230" t="s">
        <v>13</v>
      </c>
      <c r="H4" s="230" t="s">
        <v>10</v>
      </c>
      <c r="I4" s="230" t="s">
        <v>11</v>
      </c>
      <c r="J4" s="18" t="s">
        <v>13</v>
      </c>
      <c r="K4" s="20" t="s">
        <v>10</v>
      </c>
      <c r="L4" s="21" t="s">
        <v>11</v>
      </c>
      <c r="M4" s="26" t="s">
        <v>13</v>
      </c>
      <c r="N4" s="31" t="s">
        <v>10</v>
      </c>
      <c r="O4" s="32" t="s">
        <v>11</v>
      </c>
      <c r="P4" s="13" t="s">
        <v>13</v>
      </c>
      <c r="Q4" s="3" t="s">
        <v>10</v>
      </c>
      <c r="R4" s="71" t="s">
        <v>11</v>
      </c>
    </row>
    <row r="5" spans="1:18">
      <c r="A5" s="9" t="s">
        <v>194</v>
      </c>
      <c r="B5" s="9" t="s">
        <v>195</v>
      </c>
      <c r="C5" s="57"/>
      <c r="D5" s="316" t="s">
        <v>196</v>
      </c>
      <c r="E5" s="317"/>
      <c r="F5" s="325"/>
      <c r="G5" s="231">
        <v>27</v>
      </c>
      <c r="H5" s="231">
        <v>26</v>
      </c>
      <c r="I5" s="327">
        <f>H5/G5</f>
        <v>0.96296296296296291</v>
      </c>
      <c r="J5" s="45">
        <v>33</v>
      </c>
      <c r="K5" s="16">
        <v>27</v>
      </c>
      <c r="L5" s="46">
        <v>100</v>
      </c>
      <c r="M5" s="33">
        <v>23</v>
      </c>
      <c r="N5" s="33">
        <v>17</v>
      </c>
      <c r="O5" s="34">
        <f>12/13</f>
        <v>0.92307692307692313</v>
      </c>
      <c r="P5" s="8">
        <v>29</v>
      </c>
      <c r="Q5" s="8">
        <v>26</v>
      </c>
      <c r="R5" s="72">
        <f>26/29</f>
        <v>0.89655172413793105</v>
      </c>
    </row>
    <row r="6" spans="1:18">
      <c r="A6" s="9" t="s">
        <v>197</v>
      </c>
      <c r="B6" s="9" t="s">
        <v>198</v>
      </c>
      <c r="C6" s="57"/>
      <c r="D6" s="7">
        <v>5</v>
      </c>
      <c r="E6" s="8">
        <v>5</v>
      </c>
      <c r="F6" s="319">
        <f>E6/D6</f>
        <v>1</v>
      </c>
      <c r="G6" s="231">
        <v>6</v>
      </c>
      <c r="H6" s="231">
        <v>5</v>
      </c>
      <c r="I6" s="327">
        <f>H6/G6</f>
        <v>0.83333333333333337</v>
      </c>
      <c r="J6" s="33" t="s">
        <v>199</v>
      </c>
      <c r="K6" s="16"/>
      <c r="L6" s="46"/>
      <c r="M6" s="33">
        <v>7</v>
      </c>
      <c r="N6" s="33">
        <v>5</v>
      </c>
      <c r="O6" s="34">
        <f>5/7</f>
        <v>0.7142857142857143</v>
      </c>
      <c r="P6" s="5" t="s">
        <v>199</v>
      </c>
      <c r="Q6" s="5"/>
      <c r="R6" s="72"/>
    </row>
    <row r="7" spans="1:18">
      <c r="A7" s="9" t="s">
        <v>200</v>
      </c>
      <c r="B7" s="9" t="s">
        <v>201</v>
      </c>
      <c r="C7" s="57"/>
      <c r="D7" s="7">
        <v>21</v>
      </c>
      <c r="E7" s="8">
        <v>15</v>
      </c>
      <c r="F7" s="319">
        <f t="shared" ref="F7:F9" si="0">E7/D7</f>
        <v>0.7142857142857143</v>
      </c>
      <c r="G7" s="231">
        <v>25</v>
      </c>
      <c r="H7" s="231">
        <v>15</v>
      </c>
      <c r="I7" s="327">
        <f t="shared" ref="I7:I9" si="1">H7/G7</f>
        <v>0.6</v>
      </c>
      <c r="J7" s="45">
        <v>2</v>
      </c>
      <c r="K7" s="16">
        <v>0</v>
      </c>
      <c r="L7" s="46">
        <v>0</v>
      </c>
      <c r="M7" s="33">
        <v>29</v>
      </c>
      <c r="N7" s="33">
        <v>22</v>
      </c>
      <c r="O7" s="34">
        <f>22/29</f>
        <v>0.75862068965517238</v>
      </c>
      <c r="P7" s="8">
        <v>33</v>
      </c>
      <c r="Q7" s="8">
        <v>20</v>
      </c>
      <c r="R7" s="72">
        <f>20/33</f>
        <v>0.60606060606060608</v>
      </c>
    </row>
    <row r="8" spans="1:18">
      <c r="A8" s="9" t="s">
        <v>202</v>
      </c>
      <c r="B8" s="9" t="s">
        <v>203</v>
      </c>
      <c r="C8" s="57"/>
      <c r="D8" s="7">
        <v>9</v>
      </c>
      <c r="E8" s="8">
        <v>7</v>
      </c>
      <c r="F8" s="319">
        <f t="shared" si="0"/>
        <v>0.77777777777777779</v>
      </c>
      <c r="G8" s="231">
        <v>15</v>
      </c>
      <c r="H8" s="231">
        <v>14</v>
      </c>
      <c r="I8" s="327">
        <f t="shared" si="1"/>
        <v>0.93333333333333335</v>
      </c>
      <c r="J8" s="45">
        <v>12</v>
      </c>
      <c r="K8" s="16">
        <v>8</v>
      </c>
      <c r="L8" s="46">
        <v>67</v>
      </c>
      <c r="M8" s="33">
        <v>2</v>
      </c>
      <c r="N8" s="33">
        <v>2</v>
      </c>
      <c r="O8" s="34">
        <v>1</v>
      </c>
      <c r="P8" s="8">
        <v>16</v>
      </c>
      <c r="Q8" s="8">
        <v>13</v>
      </c>
      <c r="R8" s="72">
        <f>13/16</f>
        <v>0.8125</v>
      </c>
    </row>
    <row r="9" spans="1:18" ht="15" thickBot="1">
      <c r="A9" s="37" t="s">
        <v>204</v>
      </c>
      <c r="B9" s="37" t="s">
        <v>205</v>
      </c>
      <c r="C9" s="65"/>
      <c r="D9" s="320">
        <v>18</v>
      </c>
      <c r="E9" s="321">
        <v>13</v>
      </c>
      <c r="F9" s="322">
        <f t="shared" si="0"/>
        <v>0.72222222222222221</v>
      </c>
      <c r="G9" s="232">
        <v>31</v>
      </c>
      <c r="H9" s="232">
        <v>29</v>
      </c>
      <c r="I9" s="327">
        <f t="shared" si="1"/>
        <v>0.93548387096774188</v>
      </c>
      <c r="J9" s="67">
        <v>31</v>
      </c>
      <c r="K9" s="68">
        <v>30</v>
      </c>
      <c r="L9" s="69">
        <v>97</v>
      </c>
      <c r="M9" s="38">
        <v>29</v>
      </c>
      <c r="N9" s="38">
        <v>22</v>
      </c>
      <c r="O9" s="39">
        <f>22/29</f>
        <v>0.75862068965517238</v>
      </c>
      <c r="P9" s="8">
        <v>19</v>
      </c>
      <c r="Q9" s="8">
        <v>14</v>
      </c>
      <c r="R9" s="73">
        <f>14/19</f>
        <v>0.73684210526315785</v>
      </c>
    </row>
    <row r="10" spans="1:18" ht="15" thickBot="1">
      <c r="A10" s="11"/>
      <c r="B10" s="22" t="s">
        <v>42</v>
      </c>
      <c r="C10" s="58"/>
      <c r="D10" s="252">
        <f>SUM(D6:D9)</f>
        <v>53</v>
      </c>
      <c r="E10" s="14">
        <f>SUM(E6:E9)</f>
        <v>40</v>
      </c>
      <c r="F10" s="326">
        <f>(SUM(F6:F9)/4)</f>
        <v>0.8035714285714286</v>
      </c>
      <c r="G10" s="230">
        <f>SUM(G5:G9)</f>
        <v>104</v>
      </c>
      <c r="H10" s="230">
        <f>SUM(H5:H9)</f>
        <v>89</v>
      </c>
      <c r="I10" s="328">
        <f>(SUM(I5:I9)/5)</f>
        <v>0.85302270011947434</v>
      </c>
      <c r="J10" s="47">
        <f>SUM(J5:J9)</f>
        <v>78</v>
      </c>
      <c r="K10" s="23">
        <f>SUM(K5:K9)</f>
        <v>65</v>
      </c>
      <c r="L10" s="48">
        <v>86</v>
      </c>
      <c r="M10" s="25">
        <v>80</v>
      </c>
      <c r="N10" s="25">
        <v>63</v>
      </c>
      <c r="O10" s="36">
        <f>63/80</f>
        <v>0.78749999999999998</v>
      </c>
      <c r="P10" s="13">
        <v>135</v>
      </c>
      <c r="Q10" s="13">
        <v>108</v>
      </c>
      <c r="R10" s="74">
        <f>108/135</f>
        <v>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8"/>
  <sheetViews>
    <sheetView workbookViewId="0">
      <selection activeCell="F19" sqref="F19"/>
    </sheetView>
  </sheetViews>
  <sheetFormatPr defaultColWidth="8.7109375" defaultRowHeight="14.45"/>
  <cols>
    <col min="10" max="10" width="10.42578125" customWidth="1"/>
    <col min="12" max="12" width="10.140625" customWidth="1"/>
    <col min="13" max="13" width="10.7109375" customWidth="1"/>
    <col min="15" max="15" width="10" customWidth="1"/>
    <col min="16" max="16" width="11.140625" customWidth="1"/>
  </cols>
  <sheetData>
    <row r="1" spans="1:18">
      <c r="A1" s="24" t="s">
        <v>162</v>
      </c>
    </row>
    <row r="2" spans="1:18" ht="15" thickBot="1"/>
    <row r="3" spans="1:18" ht="15" thickBot="1">
      <c r="D3" s="90"/>
      <c r="E3" s="27" t="s">
        <v>206</v>
      </c>
      <c r="F3" s="91"/>
      <c r="G3" s="233"/>
      <c r="H3" s="234" t="s">
        <v>207</v>
      </c>
      <c r="I3" s="235"/>
      <c r="J3" s="43"/>
      <c r="K3" s="15" t="s">
        <v>208</v>
      </c>
      <c r="L3" s="88"/>
      <c r="M3" s="77"/>
      <c r="N3" s="29" t="s">
        <v>209</v>
      </c>
      <c r="O3" s="89"/>
      <c r="P3" s="90"/>
      <c r="Q3" s="27" t="s">
        <v>210</v>
      </c>
      <c r="R3" s="91"/>
    </row>
    <row r="4" spans="1:18" ht="15" thickBot="1">
      <c r="A4" s="12" t="s">
        <v>211</v>
      </c>
      <c r="B4" s="245"/>
      <c r="C4" s="245"/>
      <c r="D4" s="252" t="s">
        <v>13</v>
      </c>
      <c r="E4" s="14" t="s">
        <v>10</v>
      </c>
      <c r="F4" s="324" t="s">
        <v>11</v>
      </c>
      <c r="G4" s="236" t="s">
        <v>13</v>
      </c>
      <c r="H4" s="237" t="s">
        <v>10</v>
      </c>
      <c r="I4" s="238" t="s">
        <v>11</v>
      </c>
      <c r="J4" s="19" t="s">
        <v>13</v>
      </c>
      <c r="K4" s="20" t="s">
        <v>10</v>
      </c>
      <c r="L4" s="28" t="s">
        <v>11</v>
      </c>
      <c r="M4" s="52" t="s">
        <v>13</v>
      </c>
      <c r="N4" s="31" t="s">
        <v>10</v>
      </c>
      <c r="O4" s="78" t="s">
        <v>11</v>
      </c>
      <c r="P4" s="2" t="s">
        <v>13</v>
      </c>
      <c r="Q4" s="3" t="s">
        <v>10</v>
      </c>
      <c r="R4" s="71" t="s">
        <v>11</v>
      </c>
    </row>
    <row r="5" spans="1:18">
      <c r="A5" s="9" t="s">
        <v>212</v>
      </c>
      <c r="B5" t="s">
        <v>213</v>
      </c>
      <c r="C5" s="6"/>
      <c r="D5" s="316">
        <v>51</v>
      </c>
      <c r="E5" s="317">
        <v>37</v>
      </c>
      <c r="F5" s="318">
        <f>E5/D5</f>
        <v>0.72549019607843135</v>
      </c>
      <c r="G5" s="239">
        <v>68</v>
      </c>
      <c r="H5" s="240">
        <v>32</v>
      </c>
      <c r="I5" s="241">
        <v>47</v>
      </c>
      <c r="J5" s="45">
        <v>61</v>
      </c>
      <c r="K5" s="16">
        <v>33</v>
      </c>
      <c r="L5" s="46">
        <v>54</v>
      </c>
      <c r="M5" s="53">
        <v>109</v>
      </c>
      <c r="N5" s="33">
        <v>41</v>
      </c>
      <c r="O5" s="81">
        <f>41/109</f>
        <v>0.37614678899082571</v>
      </c>
      <c r="P5" s="4">
        <v>61</v>
      </c>
      <c r="Q5" s="5">
        <v>17</v>
      </c>
      <c r="R5" s="72">
        <f>17/61</f>
        <v>0.27868852459016391</v>
      </c>
    </row>
    <row r="6" spans="1:18">
      <c r="A6" s="9" t="s">
        <v>214</v>
      </c>
      <c r="B6" s="6" t="s">
        <v>215</v>
      </c>
      <c r="C6" s="6"/>
      <c r="D6" s="7">
        <v>11</v>
      </c>
      <c r="E6" s="8">
        <v>10</v>
      </c>
      <c r="F6" s="319">
        <f t="shared" ref="F6:F7" si="0">E6/D6</f>
        <v>0.90909090909090906</v>
      </c>
      <c r="G6" s="239">
        <v>14</v>
      </c>
      <c r="H6" s="240">
        <v>13</v>
      </c>
      <c r="I6" s="241">
        <v>92</v>
      </c>
      <c r="J6" s="45">
        <v>11</v>
      </c>
      <c r="K6" s="16">
        <v>11</v>
      </c>
      <c r="L6" s="46">
        <v>100</v>
      </c>
      <c r="M6" s="53">
        <v>33</v>
      </c>
      <c r="N6" s="33">
        <v>28</v>
      </c>
      <c r="O6" s="82">
        <f>28/33</f>
        <v>0.84848484848484851</v>
      </c>
      <c r="P6" s="7">
        <v>28</v>
      </c>
      <c r="Q6" s="8">
        <v>24</v>
      </c>
      <c r="R6" s="72">
        <f>24/28</f>
        <v>0.8571428571428571</v>
      </c>
    </row>
    <row r="7" spans="1:18">
      <c r="A7" s="9" t="s">
        <v>216</v>
      </c>
      <c r="B7" s="6" t="s">
        <v>217</v>
      </c>
      <c r="C7" s="6"/>
      <c r="D7" s="7">
        <v>8</v>
      </c>
      <c r="E7" s="8">
        <v>6</v>
      </c>
      <c r="F7" s="319">
        <f t="shared" si="0"/>
        <v>0.75</v>
      </c>
      <c r="G7" s="239">
        <v>7</v>
      </c>
      <c r="H7" s="240">
        <v>6</v>
      </c>
      <c r="I7" s="241">
        <v>86</v>
      </c>
      <c r="J7" s="45">
        <v>5</v>
      </c>
      <c r="K7" s="16">
        <v>4</v>
      </c>
      <c r="L7" s="46">
        <v>80</v>
      </c>
      <c r="M7" s="53">
        <v>17</v>
      </c>
      <c r="N7" s="33">
        <v>17</v>
      </c>
      <c r="O7" s="82">
        <f>17/17</f>
        <v>1</v>
      </c>
      <c r="P7" s="7">
        <v>17</v>
      </c>
      <c r="Q7" s="8">
        <v>17</v>
      </c>
      <c r="R7" s="72">
        <v>1</v>
      </c>
    </row>
    <row r="8" spans="1:18" ht="15" thickBot="1">
      <c r="A8" s="40"/>
      <c r="B8" s="41" t="s">
        <v>42</v>
      </c>
      <c r="C8" s="41"/>
      <c r="D8" s="85">
        <f>SUM(D5:D7)</f>
        <v>70</v>
      </c>
      <c r="E8" s="10">
        <f t="shared" ref="E8" si="1">SUM(E5:E7)</f>
        <v>53</v>
      </c>
      <c r="F8" s="329">
        <f>(SUM(F5:F7)/3)</f>
        <v>0.79486036838978025</v>
      </c>
      <c r="G8" s="242">
        <f>SUM(G5:G7)</f>
        <v>89</v>
      </c>
      <c r="H8" s="243">
        <f>SUM(H5:H7)</f>
        <v>51</v>
      </c>
      <c r="I8" s="244">
        <v>57</v>
      </c>
      <c r="J8" s="79">
        <f>SUM(J5:J7)</f>
        <v>77</v>
      </c>
      <c r="K8" s="17">
        <f>SUM(K5:K7)</f>
        <v>48</v>
      </c>
      <c r="L8" s="80">
        <v>66</v>
      </c>
      <c r="M8" s="83">
        <v>171</v>
      </c>
      <c r="N8" s="42">
        <v>97</v>
      </c>
      <c r="O8" s="84">
        <f>97/171</f>
        <v>0.56725146198830412</v>
      </c>
      <c r="P8" s="85">
        <v>118</v>
      </c>
      <c r="Q8" s="10">
        <v>69</v>
      </c>
      <c r="R8" s="86">
        <f>69/118</f>
        <v>0.5847457627118644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2C6D564A13E2E48B557FCF1C61227A7" ma:contentTypeVersion="3" ma:contentTypeDescription="Opprett et nytt dokument." ma:contentTypeScope="" ma:versionID="0d31d6f975fefee434ca798fb635abda">
  <xsd:schema xmlns:xsd="http://www.w3.org/2001/XMLSchema" xmlns:xs="http://www.w3.org/2001/XMLSchema" xmlns:p="http://schemas.microsoft.com/office/2006/metadata/properties" xmlns:ns2="ce9f5187-565f-4f26-b0f8-655e8f5ad056" targetNamespace="http://schemas.microsoft.com/office/2006/metadata/properties" ma:root="true" ma:fieldsID="3dc0f1defa8613178157d3d455406d83" ns2:_="">
    <xsd:import namespace="ce9f5187-565f-4f26-b0f8-655e8f5ad056"/>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9f5187-565f-4f26-b0f8-655e8f5ad0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432C06-711F-4BD4-AABA-BBF8D88B7488}"/>
</file>

<file path=customXml/itemProps2.xml><?xml version="1.0" encoding="utf-8"?>
<ds:datastoreItem xmlns:ds="http://schemas.openxmlformats.org/officeDocument/2006/customXml" ds:itemID="{1E7EC6AF-57DD-4A61-A39A-3E6884083220}"/>
</file>

<file path=customXml/itemProps3.xml><?xml version="1.0" encoding="utf-8"?>
<ds:datastoreItem xmlns:ds="http://schemas.openxmlformats.org/officeDocument/2006/customXml" ds:itemID="{F68005D5-55E4-47D7-966A-29A966CB73E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Kristin Steen Slåttå</cp:lastModifiedBy>
  <cp:revision/>
  <dcterms:created xsi:type="dcterms:W3CDTF">2015-06-05T18:17:20Z</dcterms:created>
  <dcterms:modified xsi:type="dcterms:W3CDTF">2023-09-08T06:08:02Z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0x01010022C6D564A13E2E48B557FCF1C61227A7</vt:lpwstr>
  </property>
</Properties>
</file>